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innon\Documents\Mu2e\CD2 DOE Review Risks\"/>
    </mc:Choice>
  </mc:AlternateContent>
  <bookViews>
    <workbookView xWindow="0" yWindow="0" windowWidth="15090" windowHeight="7485" tabRatio="801" activeTab="2"/>
  </bookViews>
  <sheets>
    <sheet name="Change log" sheetId="1" r:id="rId1"/>
    <sheet name="RISK REGISTER" sheetId="2" r:id="rId2"/>
    <sheet name="Risk Dollars per year" sheetId="3" r:id="rId3"/>
    <sheet name="Retired risks" sheetId="4" r:id="rId4"/>
    <sheet name="Transfered Risk Events" sheetId="5" r:id="rId5"/>
    <sheet name="Realized Risk events" sheetId="6" r:id="rId6"/>
    <sheet name="Risk Mapping" sheetId="7" r:id="rId7"/>
    <sheet name="Deleted Items" sheetId="8" r:id="rId8"/>
    <sheet name="Chart" sheetId="9" r:id="rId9"/>
    <sheet name="Sheet2" sheetId="10" r:id="rId10"/>
    <sheet name="Sheet3" sheetId="11" r:id="rId11"/>
  </sheets>
  <definedNames>
    <definedName name="_xlnm.Print_Area" localSheetId="5">'Realized Risk events'!$A$4:$Y$121</definedName>
    <definedName name="_xlnm.Print_Area" localSheetId="3">'Retired risks'!$A$4:$Y$121</definedName>
    <definedName name="_xlnm.Print_Area" localSheetId="1">'RISK REGISTER'!$A$3:$Y$26</definedName>
    <definedName name="Z_2B075AC7_DBBC_D945_A93B_024C897F18C8_.wvu.Cols" localSheetId="2" hidden="1">'Risk Dollars per year'!$F:$V,'Risk Dollars per year'!$X:$AA</definedName>
    <definedName name="Z_2B075AC7_DBBC_D945_A93B_024C897F18C8_.wvu.PrintArea" localSheetId="5" hidden="1">'Realized Risk events'!$A$4:$Y$121</definedName>
    <definedName name="Z_2B075AC7_DBBC_D945_A93B_024C897F18C8_.wvu.PrintArea" localSheetId="3" hidden="1">'Retired risks'!$A$4:$Y$121</definedName>
    <definedName name="Z_2B075AC7_DBBC_D945_A93B_024C897F18C8_.wvu.PrintArea" localSheetId="1" hidden="1">'RISK REGISTER'!$A$3:$Y$26</definedName>
    <definedName name="Z_2B075AC7_DBBC_D945_A93B_024C897F18C8_.wvu.Rows" localSheetId="5" hidden="1">'Realized Risk events'!$6:$12,'Realized Risk events'!$14:$19,'Realized Risk events'!$21:$21,'Realized Risk events'!$23:$23,'Realized Risk events'!$25:$27,'Realized Risk events'!$29:$94,'Realized Risk events'!$96:$121</definedName>
    <definedName name="Z_2B075AC7_DBBC_D945_A93B_024C897F18C8_.wvu.Rows" localSheetId="3" hidden="1">'Retired risks'!$6:$14,'Retired risks'!$20:$22,'Retired risks'!$24:$31,'Retired risks'!$34:$34,'Retired risks'!$36:$45,'Retired risks'!$47:$47,'Retired risks'!$50:$56,'Retired risks'!$58:$65,'Retired risks'!$69:$76,'Retired risks'!$78:$78,'Retired risks'!$80:$87,'Retired risks'!$89:$100,'Retired risks'!$102:$102,'Retired risks'!$104:$112,'Retired risks'!$114:$114,'Retired risks'!$116:$116,'Retired risks'!$119:$120</definedName>
    <definedName name="Z_7D136558_6337_4481_BB09_697594446B4E_.wvu.Cols" localSheetId="2" hidden="1">'Risk Dollars per year'!$F:$V,'Risk Dollars per year'!$X:$Y</definedName>
    <definedName name="Z_7D136558_6337_4481_BB09_697594446B4E_.wvu.PrintArea" localSheetId="5" hidden="1">'Realized Risk events'!$A$4:$Y$121</definedName>
    <definedName name="Z_7D136558_6337_4481_BB09_697594446B4E_.wvu.PrintArea" localSheetId="3" hidden="1">'Retired risks'!$A$4:$Y$121</definedName>
    <definedName name="Z_7D136558_6337_4481_BB09_697594446B4E_.wvu.PrintArea" localSheetId="1" hidden="1">'RISK REGISTER'!$A$3:$Y$26</definedName>
    <definedName name="Z_7D136558_6337_4481_BB09_697594446B4E_.wvu.Rows" localSheetId="5" hidden="1">'Realized Risk events'!$6:$12,'Realized Risk events'!$14:$19,'Realized Risk events'!$21:$21,'Realized Risk events'!$23:$23,'Realized Risk events'!$25:$27,'Realized Risk events'!$29:$94,'Realized Risk events'!$96:$121</definedName>
    <definedName name="Z_7D136558_6337_4481_BB09_697594446B4E_.wvu.Rows" localSheetId="3" hidden="1">'Retired risks'!$6:$14,'Retired risks'!$20:$22,'Retired risks'!$24:$31,'Retired risks'!$34:$34,'Retired risks'!$36:$45,'Retired risks'!$47:$47,'Retired risks'!$50:$56,'Retired risks'!$58:$65,'Retired risks'!$69:$76,'Retired risks'!$78:$78,'Retired risks'!$80:$87,'Retired risks'!$89:$100,'Retired risks'!$102:$102,'Retired risks'!$104:$112,'Retired risks'!$114:$114,'Retired risks'!$116:$116,'Retired risks'!$119:$120</definedName>
    <definedName name="Z_8AF944F7_C3D1_6E48_8544_F246EE5D8D9B_.wvu.Cols" localSheetId="2" hidden="1">'Risk Dollars per year'!$F:$V,'Risk Dollars per year'!$X:$Y</definedName>
    <definedName name="Z_8AF944F7_C3D1_6E48_8544_F246EE5D8D9B_.wvu.PrintArea" localSheetId="5" hidden="1">'Realized Risk events'!$A$4:$Y$121</definedName>
    <definedName name="Z_8AF944F7_C3D1_6E48_8544_F246EE5D8D9B_.wvu.PrintArea" localSheetId="3" hidden="1">'Retired risks'!$A$4:$Y$121</definedName>
    <definedName name="Z_8AF944F7_C3D1_6E48_8544_F246EE5D8D9B_.wvu.PrintArea" localSheetId="1" hidden="1">'RISK REGISTER'!$A$3:$Y$26</definedName>
    <definedName name="Z_8AF944F7_C3D1_6E48_8544_F246EE5D8D9B_.wvu.Rows" localSheetId="5" hidden="1">'Realized Risk events'!$6:$12,'Realized Risk events'!$14:$19,'Realized Risk events'!$21:$21,'Realized Risk events'!$23:$23,'Realized Risk events'!$25:$27,'Realized Risk events'!$29:$94,'Realized Risk events'!$96:$121</definedName>
    <definedName name="Z_8AF944F7_C3D1_6E48_8544_F246EE5D8D9B_.wvu.Rows" localSheetId="3" hidden="1">'Retired risks'!$6:$14,'Retired risks'!$20:$22,'Retired risks'!$24:$31,'Retired risks'!$34:$34,'Retired risks'!$36:$45,'Retired risks'!$47:$47,'Retired risks'!$50:$56,'Retired risks'!$58:$65,'Retired risks'!$69:$76,'Retired risks'!$78:$78,'Retired risks'!$80:$87,'Retired risks'!$89:$100,'Retired risks'!$102:$102,'Retired risks'!$104:$112,'Retired risks'!$114:$114,'Retired risks'!$116:$116,'Retired risks'!$119:$120</definedName>
  </definedNames>
  <calcPr calcId="152511" concurrentCalc="0"/>
  <customWorkbookViews>
    <customWorkbookView name="Ron Ray - Personal View" guid="{8AF944F7-C3D1-6E48-8544-F246EE5D8D9B}" mergeInterval="0" personalView="1" xWindow="269" yWindow="119" windowWidth="1767" windowHeight="888" tabRatio="801" activeSheetId="1"/>
    <customWorkbookView name="Douglas Glenzinski - Personal View" guid="{2B075AC7-DBBC-D945-A93B-024C897F18C8}" mergeInterval="0" personalView="1" xWindow="-4" yWindow="61" windowWidth="1972" windowHeight="796" activeSheetId="2"/>
    <customWorkbookView name="Mike Dinnon x3254,2384 14089N - Personal View" guid="{7D136558-6337-4481-BB09-697594446B4E}" mergeInterval="0" personalView="1" maximized="1" xWindow="-9" yWindow="-9" windowWidth="1938" windowHeight="1050" tabRatio="801"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N91" i="3" l="1"/>
  <c r="AN90" i="3"/>
  <c r="AN89" i="3"/>
  <c r="AN88" i="3"/>
  <c r="AN87" i="3"/>
  <c r="AN86" i="3"/>
  <c r="AN85" i="3"/>
  <c r="AN84" i="3"/>
  <c r="AN83" i="3"/>
  <c r="AN82" i="3"/>
  <c r="AN81" i="3"/>
  <c r="AN80" i="3"/>
  <c r="AN79" i="3"/>
  <c r="AN78" i="3"/>
  <c r="AN77" i="3"/>
  <c r="AN76" i="3"/>
  <c r="AN75" i="3"/>
  <c r="AN74" i="3"/>
  <c r="AN73" i="3"/>
  <c r="AN72" i="3"/>
  <c r="AN71" i="3"/>
  <c r="AN70" i="3"/>
  <c r="AN68" i="3"/>
  <c r="AN67" i="3"/>
  <c r="AN66" i="3"/>
  <c r="AN65"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7" i="3"/>
  <c r="AN6" i="3"/>
  <c r="W91" i="2"/>
  <c r="AD90" i="3"/>
  <c r="AG90" i="3"/>
  <c r="AC90" i="3"/>
  <c r="AI90" i="3"/>
  <c r="AH90" i="3"/>
  <c r="AF90" i="3"/>
  <c r="AE90" i="3"/>
  <c r="F90" i="3"/>
  <c r="F94" i="3"/>
  <c r="T6" i="3"/>
  <c r="U6" i="3"/>
  <c r="W6" i="3"/>
  <c r="T7" i="3"/>
  <c r="U7" i="3"/>
  <c r="W7" i="3"/>
  <c r="T9" i="3"/>
  <c r="U9" i="3"/>
  <c r="W9" i="3"/>
  <c r="T10" i="3"/>
  <c r="U10" i="3"/>
  <c r="W10" i="3"/>
  <c r="T11" i="3"/>
  <c r="U11" i="3"/>
  <c r="W11" i="3"/>
  <c r="T12" i="3"/>
  <c r="U12" i="3"/>
  <c r="W12" i="3"/>
  <c r="T13" i="3"/>
  <c r="U13" i="3"/>
  <c r="W13" i="3"/>
  <c r="T14" i="3"/>
  <c r="U14" i="3"/>
  <c r="W14" i="3"/>
  <c r="T15" i="3"/>
  <c r="U15" i="3"/>
  <c r="W15" i="3"/>
  <c r="Z15" i="3"/>
  <c r="T19" i="3"/>
  <c r="U19" i="3"/>
  <c r="W19" i="3"/>
  <c r="T20" i="3"/>
  <c r="U20" i="3"/>
  <c r="W20" i="3"/>
  <c r="T21" i="3"/>
  <c r="U21" i="3"/>
  <c r="W21" i="3"/>
  <c r="Z21" i="3"/>
  <c r="T23" i="3"/>
  <c r="U23" i="3"/>
  <c r="W23" i="3"/>
  <c r="T24" i="3"/>
  <c r="U24" i="3"/>
  <c r="W24" i="3"/>
  <c r="T25" i="3"/>
  <c r="U25" i="3"/>
  <c r="W25" i="3"/>
  <c r="T26" i="3"/>
  <c r="U26" i="3"/>
  <c r="W26" i="3"/>
  <c r="T27" i="3"/>
  <c r="U27" i="3"/>
  <c r="W27" i="3"/>
  <c r="T28" i="3"/>
  <c r="U28" i="3"/>
  <c r="W28" i="3"/>
  <c r="T29" i="3"/>
  <c r="U29" i="3"/>
  <c r="W29" i="3"/>
  <c r="T30" i="3"/>
  <c r="U30" i="3"/>
  <c r="W30" i="3"/>
  <c r="Z30" i="3"/>
  <c r="T65" i="3"/>
  <c r="U65" i="3"/>
  <c r="W65" i="3"/>
  <c r="T66" i="3"/>
  <c r="U66" i="3"/>
  <c r="W66" i="3"/>
  <c r="T67" i="3"/>
  <c r="U67" i="3"/>
  <c r="W67" i="3"/>
  <c r="T68" i="3"/>
  <c r="U68" i="3"/>
  <c r="W68" i="3"/>
  <c r="T70" i="3"/>
  <c r="U70" i="3"/>
  <c r="W70" i="3"/>
  <c r="T71" i="3"/>
  <c r="U71" i="3"/>
  <c r="W71" i="3"/>
  <c r="T72" i="3"/>
  <c r="U72" i="3"/>
  <c r="W72" i="3"/>
  <c r="T73" i="3"/>
  <c r="U73" i="3"/>
  <c r="W73" i="3"/>
  <c r="Z73" i="3"/>
  <c r="T74" i="3"/>
  <c r="U74" i="3"/>
  <c r="W74" i="3"/>
  <c r="T75" i="3"/>
  <c r="U75" i="3"/>
  <c r="W75" i="3"/>
  <c r="T76" i="3"/>
  <c r="U76" i="3"/>
  <c r="W76" i="3"/>
  <c r="T77" i="3"/>
  <c r="U77" i="3"/>
  <c r="W77" i="3"/>
  <c r="T78" i="3"/>
  <c r="U78" i="3"/>
  <c r="W78" i="3"/>
  <c r="T79" i="3"/>
  <c r="U79" i="3"/>
  <c r="W79" i="3"/>
  <c r="T80" i="3"/>
  <c r="U80" i="3"/>
  <c r="W80" i="3"/>
  <c r="Z80" i="3"/>
  <c r="T81" i="3"/>
  <c r="U81" i="3"/>
  <c r="W81" i="3"/>
  <c r="T82" i="3"/>
  <c r="U82" i="3"/>
  <c r="W82" i="3"/>
  <c r="T83" i="3"/>
  <c r="U83" i="3"/>
  <c r="W83" i="3"/>
  <c r="T84" i="3"/>
  <c r="U84" i="3"/>
  <c r="W84" i="3"/>
  <c r="T85" i="3"/>
  <c r="U85" i="3"/>
  <c r="W85" i="3"/>
  <c r="T86" i="3"/>
  <c r="U86" i="3"/>
  <c r="W86" i="3"/>
  <c r="T87" i="3"/>
  <c r="U87" i="3"/>
  <c r="W87" i="3"/>
  <c r="T88" i="3"/>
  <c r="U88" i="3"/>
  <c r="W88" i="3"/>
  <c r="T89" i="3"/>
  <c r="U89" i="3"/>
  <c r="W89" i="3"/>
  <c r="Z89" i="3"/>
  <c r="Z90" i="3"/>
  <c r="Y6" i="3"/>
  <c r="Y7" i="3"/>
  <c r="Y9" i="3"/>
  <c r="Y10" i="3"/>
  <c r="Y11" i="3"/>
  <c r="Y12" i="3"/>
  <c r="Y13" i="3"/>
  <c r="Y14" i="3"/>
  <c r="Y15" i="3"/>
  <c r="T16" i="3"/>
  <c r="U16" i="3"/>
  <c r="Y16" i="3"/>
  <c r="T17" i="3"/>
  <c r="U17" i="3"/>
  <c r="Y17" i="3"/>
  <c r="T18" i="3"/>
  <c r="U18" i="3"/>
  <c r="Y18" i="3"/>
  <c r="Y19" i="3"/>
  <c r="Y20" i="3"/>
  <c r="Y21" i="3"/>
  <c r="T22" i="3"/>
  <c r="U22" i="3"/>
  <c r="Y22" i="3"/>
  <c r="Y23" i="3"/>
  <c r="Y24" i="3"/>
  <c r="Y25" i="3"/>
  <c r="Y26" i="3"/>
  <c r="Y27" i="3"/>
  <c r="Y28" i="3"/>
  <c r="Y29" i="3"/>
  <c r="Y30" i="3"/>
  <c r="T31" i="3"/>
  <c r="U31" i="3"/>
  <c r="Y31" i="3"/>
  <c r="T32" i="3"/>
  <c r="U32" i="3"/>
  <c r="Y32" i="3"/>
  <c r="T33" i="3"/>
  <c r="U33" i="3"/>
  <c r="Y33" i="3"/>
  <c r="T35" i="3"/>
  <c r="U35" i="3"/>
  <c r="Y35" i="3"/>
  <c r="T36" i="3"/>
  <c r="U36" i="3"/>
  <c r="Y36" i="3"/>
  <c r="T37" i="3"/>
  <c r="U37" i="3"/>
  <c r="Y37" i="3"/>
  <c r="T38" i="3"/>
  <c r="U38" i="3"/>
  <c r="Y38" i="3"/>
  <c r="T39" i="3"/>
  <c r="U39" i="3"/>
  <c r="Y39" i="3"/>
  <c r="T40" i="3"/>
  <c r="U40" i="3"/>
  <c r="Y40" i="3"/>
  <c r="T41" i="3"/>
  <c r="U41" i="3"/>
  <c r="Y41" i="3"/>
  <c r="T42" i="3"/>
  <c r="U42" i="3"/>
  <c r="Y42" i="3"/>
  <c r="T43" i="3"/>
  <c r="U43" i="3"/>
  <c r="Y43" i="3"/>
  <c r="T44" i="3"/>
  <c r="U44" i="3"/>
  <c r="Y44" i="3"/>
  <c r="T45" i="3"/>
  <c r="U45" i="3"/>
  <c r="Y45" i="3"/>
  <c r="T46" i="3"/>
  <c r="U46" i="3"/>
  <c r="Y46" i="3"/>
  <c r="T47" i="3"/>
  <c r="U47" i="3"/>
  <c r="Y47" i="3"/>
  <c r="T48" i="3"/>
  <c r="U48" i="3"/>
  <c r="Y48" i="3"/>
  <c r="T49" i="3"/>
  <c r="U49" i="3"/>
  <c r="Y49" i="3"/>
  <c r="T50" i="3"/>
  <c r="U50" i="3"/>
  <c r="Y50" i="3"/>
  <c r="T51" i="3"/>
  <c r="U51" i="3"/>
  <c r="Y51" i="3"/>
  <c r="T52" i="3"/>
  <c r="U52" i="3"/>
  <c r="Y52" i="3"/>
  <c r="T53" i="3"/>
  <c r="U53" i="3"/>
  <c r="Y53" i="3"/>
  <c r="T54" i="3"/>
  <c r="U54" i="3"/>
  <c r="Y54" i="3"/>
  <c r="T55" i="3"/>
  <c r="U55" i="3"/>
  <c r="Y55" i="3"/>
  <c r="T56" i="3"/>
  <c r="U56" i="3"/>
  <c r="Y56" i="3"/>
  <c r="T57" i="3"/>
  <c r="U57" i="3"/>
  <c r="Y57" i="3"/>
  <c r="T58" i="3"/>
  <c r="U58" i="3"/>
  <c r="Y58" i="3"/>
  <c r="T59" i="3"/>
  <c r="U59" i="3"/>
  <c r="Y59" i="3"/>
  <c r="T60" i="3"/>
  <c r="U60" i="3"/>
  <c r="Y60" i="3"/>
  <c r="T61" i="3"/>
  <c r="U61" i="3"/>
  <c r="Y61" i="3"/>
  <c r="T62" i="3"/>
  <c r="U62" i="3"/>
  <c r="Y62" i="3"/>
  <c r="T63" i="3"/>
  <c r="U63" i="3"/>
  <c r="Y63" i="3"/>
  <c r="Y65" i="3"/>
  <c r="Y66" i="3"/>
  <c r="Y67" i="3"/>
  <c r="Y68" i="3"/>
  <c r="Y70" i="3"/>
  <c r="Y71" i="3"/>
  <c r="Y72" i="3"/>
  <c r="Y73" i="3"/>
  <c r="Y74" i="3"/>
  <c r="Y75" i="3"/>
  <c r="Y76" i="3"/>
  <c r="Y77" i="3"/>
  <c r="Y78" i="3"/>
  <c r="Y79" i="3"/>
  <c r="Y80" i="3"/>
  <c r="Y81" i="3"/>
  <c r="Y82" i="3"/>
  <c r="Y83" i="3"/>
  <c r="Y84" i="3"/>
  <c r="Y85" i="3"/>
  <c r="Y86" i="3"/>
  <c r="Y87" i="3"/>
  <c r="Y88" i="3"/>
  <c r="Y89" i="3"/>
  <c r="Y90" i="3"/>
  <c r="X6" i="3"/>
  <c r="X7" i="3"/>
  <c r="X9" i="3"/>
  <c r="X10" i="3"/>
  <c r="X11" i="3"/>
  <c r="X12" i="3"/>
  <c r="X13" i="3"/>
  <c r="X14" i="3"/>
  <c r="X15" i="3"/>
  <c r="X16" i="3"/>
  <c r="X17" i="3"/>
  <c r="X18" i="3"/>
  <c r="X19" i="3"/>
  <c r="X20" i="3"/>
  <c r="X21" i="3"/>
  <c r="X22" i="3"/>
  <c r="X23" i="3"/>
  <c r="X24" i="3"/>
  <c r="X25" i="3"/>
  <c r="X26" i="3"/>
  <c r="X27" i="3"/>
  <c r="X28" i="3"/>
  <c r="X29" i="3"/>
  <c r="X30" i="3"/>
  <c r="X31" i="3"/>
  <c r="X32" i="3"/>
  <c r="X33"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5" i="3"/>
  <c r="X66" i="3"/>
  <c r="X67" i="3"/>
  <c r="X68" i="3"/>
  <c r="X70" i="3"/>
  <c r="X71" i="3"/>
  <c r="X72" i="3"/>
  <c r="X73" i="3"/>
  <c r="X74" i="3"/>
  <c r="X75" i="3"/>
  <c r="X76" i="3"/>
  <c r="X77" i="3"/>
  <c r="X78" i="3"/>
  <c r="X79" i="3"/>
  <c r="X80" i="3"/>
  <c r="X81" i="3"/>
  <c r="X82" i="3"/>
  <c r="X83" i="3"/>
  <c r="X84" i="3"/>
  <c r="X85" i="3"/>
  <c r="X86" i="3"/>
  <c r="X87" i="3"/>
  <c r="X88" i="3"/>
  <c r="X89" i="3"/>
  <c r="X90" i="3"/>
  <c r="W16" i="3"/>
  <c r="W17" i="3"/>
  <c r="W18" i="3"/>
  <c r="W22" i="3"/>
  <c r="W31" i="3"/>
  <c r="W32" i="3"/>
  <c r="W33"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90" i="3"/>
  <c r="U90" i="3"/>
  <c r="S6" i="3"/>
  <c r="S7" i="3"/>
  <c r="S9" i="3"/>
  <c r="S10" i="3"/>
  <c r="S11" i="3"/>
  <c r="S12" i="3"/>
  <c r="S13" i="3"/>
  <c r="S14" i="3"/>
  <c r="S15" i="3"/>
  <c r="S16" i="3"/>
  <c r="S18" i="3"/>
  <c r="S19" i="3"/>
  <c r="S20" i="3"/>
  <c r="S21" i="3"/>
  <c r="S22" i="3"/>
  <c r="S23" i="3"/>
  <c r="S24" i="3"/>
  <c r="S25" i="3"/>
  <c r="S26" i="3"/>
  <c r="S27" i="3"/>
  <c r="S28" i="3"/>
  <c r="S31" i="3"/>
  <c r="S32" i="3"/>
  <c r="S33"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5" i="3"/>
  <c r="S66" i="3"/>
  <c r="S67" i="3"/>
  <c r="S68" i="3"/>
  <c r="S70" i="3"/>
  <c r="S71" i="3"/>
  <c r="S72" i="3"/>
  <c r="S73" i="3"/>
  <c r="S74" i="3"/>
  <c r="S75" i="3"/>
  <c r="S76" i="3"/>
  <c r="S77" i="3"/>
  <c r="S78" i="3"/>
  <c r="S79" i="3"/>
  <c r="S80" i="3"/>
  <c r="S81" i="3"/>
  <c r="S82" i="3"/>
  <c r="S83" i="3"/>
  <c r="S84" i="3"/>
  <c r="S85" i="3"/>
  <c r="S86" i="3"/>
  <c r="S87" i="3"/>
  <c r="S88" i="3"/>
  <c r="S89" i="3"/>
  <c r="S90" i="3"/>
  <c r="R6" i="3"/>
  <c r="R7" i="3"/>
  <c r="R9" i="3"/>
  <c r="R10" i="3"/>
  <c r="R11" i="3"/>
  <c r="R12" i="3"/>
  <c r="R13" i="3"/>
  <c r="R14" i="3"/>
  <c r="R15" i="3"/>
  <c r="R16" i="3"/>
  <c r="R18" i="3"/>
  <c r="R19" i="3"/>
  <c r="R20" i="3"/>
  <c r="R21" i="3"/>
  <c r="R22" i="3"/>
  <c r="R24" i="3"/>
  <c r="R25" i="3"/>
  <c r="R26" i="3"/>
  <c r="R27" i="3"/>
  <c r="R28" i="3"/>
  <c r="R29" i="3"/>
  <c r="R30" i="3"/>
  <c r="R31" i="3"/>
  <c r="R32" i="3"/>
  <c r="R33"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5" i="3"/>
  <c r="R66" i="3"/>
  <c r="R67" i="3"/>
  <c r="R68" i="3"/>
  <c r="R70" i="3"/>
  <c r="R71" i="3"/>
  <c r="R72" i="3"/>
  <c r="R73" i="3"/>
  <c r="R74" i="3"/>
  <c r="R75" i="3"/>
  <c r="R76" i="3"/>
  <c r="R77" i="3"/>
  <c r="R78" i="3"/>
  <c r="R79" i="3"/>
  <c r="R80" i="3"/>
  <c r="R81" i="3"/>
  <c r="R82" i="3"/>
  <c r="R83" i="3"/>
  <c r="R84" i="3"/>
  <c r="R85" i="3"/>
  <c r="R86" i="3"/>
  <c r="R87" i="3"/>
  <c r="R88" i="3"/>
  <c r="R89" i="3"/>
  <c r="R90" i="3"/>
  <c r="P90" i="3"/>
  <c r="O90" i="3"/>
  <c r="V89" i="3"/>
  <c r="V88" i="3"/>
  <c r="V87" i="3"/>
  <c r="V86" i="3"/>
  <c r="V85" i="3"/>
  <c r="V84" i="3"/>
  <c r="V83" i="3"/>
  <c r="V82" i="3"/>
  <c r="V81" i="3"/>
  <c r="V80" i="3"/>
  <c r="V79" i="3"/>
  <c r="V78" i="3"/>
  <c r="V77" i="3"/>
  <c r="V76" i="3"/>
  <c r="V75" i="3"/>
  <c r="V74" i="3"/>
  <c r="V73" i="3"/>
  <c r="V72" i="3"/>
  <c r="V71" i="3"/>
  <c r="V70" i="3"/>
  <c r="V68" i="3"/>
  <c r="V67" i="3"/>
  <c r="V66" i="3"/>
  <c r="V65"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3" i="3"/>
  <c r="V32" i="3"/>
  <c r="V31" i="3"/>
  <c r="V30" i="3"/>
  <c r="V29" i="3"/>
  <c r="V28" i="3"/>
  <c r="V27" i="3"/>
  <c r="V26" i="3"/>
  <c r="V25" i="3"/>
  <c r="V24" i="3"/>
  <c r="V23" i="3"/>
  <c r="V22" i="3"/>
  <c r="V21" i="3"/>
  <c r="V20" i="3"/>
  <c r="V19" i="3"/>
  <c r="V18" i="3"/>
  <c r="V16" i="3"/>
  <c r="V15" i="3"/>
  <c r="V14" i="3"/>
  <c r="V13" i="3"/>
  <c r="V12" i="3"/>
  <c r="V11" i="3"/>
  <c r="V10" i="3"/>
  <c r="V9" i="3"/>
  <c r="V7" i="3"/>
  <c r="V6" i="3"/>
  <c r="R137" i="4"/>
  <c r="S137" i="4"/>
  <c r="T137" i="4"/>
  <c r="U137" i="4"/>
  <c r="V137" i="4"/>
  <c r="W137" i="4"/>
  <c r="X137" i="4"/>
  <c r="Y137" i="4"/>
  <c r="R136" i="4"/>
  <c r="S136" i="4"/>
  <c r="T136" i="4"/>
  <c r="U136" i="4"/>
  <c r="V136" i="4"/>
  <c r="W136" i="4"/>
  <c r="X136" i="4"/>
  <c r="Y136" i="4"/>
  <c r="Z136" i="4"/>
  <c r="T22" i="2"/>
  <c r="U22" i="2"/>
  <c r="V22" i="2"/>
  <c r="W22" i="2"/>
  <c r="X22" i="2"/>
  <c r="Y22" i="2"/>
  <c r="R22" i="2"/>
  <c r="S22" i="2"/>
  <c r="R134" i="4"/>
  <c r="S134" i="4"/>
  <c r="T134" i="4"/>
  <c r="U134" i="4"/>
  <c r="V134" i="4"/>
  <c r="W134" i="4"/>
  <c r="X134" i="4"/>
  <c r="Y134" i="4"/>
  <c r="R125" i="6"/>
  <c r="S125" i="6"/>
  <c r="T125" i="6"/>
  <c r="U125" i="6"/>
  <c r="V125" i="6"/>
  <c r="W125" i="6"/>
  <c r="X125" i="6"/>
  <c r="Y125" i="6"/>
  <c r="R27" i="5"/>
  <c r="R6" i="5"/>
  <c r="R7" i="5"/>
  <c r="R8" i="5"/>
  <c r="R9" i="5"/>
  <c r="R10" i="5"/>
  <c r="R11" i="5"/>
  <c r="R12" i="5"/>
  <c r="R13" i="5"/>
  <c r="R14" i="5"/>
  <c r="R15" i="5"/>
  <c r="R16" i="5"/>
  <c r="R17" i="5"/>
  <c r="R18" i="5"/>
  <c r="R19" i="5"/>
  <c r="R20" i="5"/>
  <c r="R21" i="5"/>
  <c r="R22" i="5"/>
  <c r="R23" i="5"/>
  <c r="R24" i="5"/>
  <c r="R25" i="5"/>
  <c r="R26" i="5"/>
  <c r="R28" i="5"/>
  <c r="S27" i="5"/>
  <c r="U28" i="10"/>
  <c r="T28" i="10"/>
  <c r="V28" i="10"/>
  <c r="S28" i="10"/>
  <c r="R28" i="10"/>
  <c r="U27" i="10"/>
  <c r="T27" i="10"/>
  <c r="W27" i="10"/>
  <c r="S27" i="10"/>
  <c r="R27" i="10"/>
  <c r="U26" i="10"/>
  <c r="T26" i="10"/>
  <c r="S26" i="10"/>
  <c r="R26" i="10"/>
  <c r="U25" i="10"/>
  <c r="T25" i="10"/>
  <c r="S25" i="10"/>
  <c r="R25" i="10"/>
  <c r="U24" i="10"/>
  <c r="T24" i="10"/>
  <c r="W24" i="10"/>
  <c r="S24" i="10"/>
  <c r="R24" i="10"/>
  <c r="U23" i="10"/>
  <c r="T23" i="10"/>
  <c r="W23" i="10"/>
  <c r="S23" i="10"/>
  <c r="R23" i="10"/>
  <c r="U22" i="10"/>
  <c r="T22" i="10"/>
  <c r="S22" i="10"/>
  <c r="R22" i="10"/>
  <c r="U21" i="10"/>
  <c r="T21" i="10"/>
  <c r="S21" i="10"/>
  <c r="R21" i="10"/>
  <c r="U20" i="10"/>
  <c r="T20" i="10"/>
  <c r="S20" i="10"/>
  <c r="R20" i="10"/>
  <c r="U19" i="10"/>
  <c r="T19" i="10"/>
  <c r="V19" i="10"/>
  <c r="W19" i="10"/>
  <c r="S19" i="10"/>
  <c r="R19" i="10"/>
  <c r="U18" i="10"/>
  <c r="T18" i="10"/>
  <c r="W18" i="10"/>
  <c r="S18" i="10"/>
  <c r="R18" i="10"/>
  <c r="U17" i="10"/>
  <c r="T17" i="10"/>
  <c r="W17" i="10"/>
  <c r="S17" i="10"/>
  <c r="R17" i="10"/>
  <c r="U16" i="10"/>
  <c r="T16" i="10"/>
  <c r="S16" i="10"/>
  <c r="R16" i="10"/>
  <c r="U15" i="10"/>
  <c r="T15" i="10"/>
  <c r="V15" i="10"/>
  <c r="S15" i="10"/>
  <c r="R15" i="10"/>
  <c r="U14" i="10"/>
  <c r="T14" i="10"/>
  <c r="W14" i="10"/>
  <c r="S14" i="10"/>
  <c r="R14" i="10"/>
  <c r="X13" i="10"/>
  <c r="U13" i="10"/>
  <c r="T13" i="10"/>
  <c r="V13" i="10"/>
  <c r="S13" i="10"/>
  <c r="R13" i="10"/>
  <c r="U12" i="10"/>
  <c r="T12" i="10"/>
  <c r="S12" i="10"/>
  <c r="R12" i="10"/>
  <c r="U11" i="10"/>
  <c r="T11" i="10"/>
  <c r="V11" i="10"/>
  <c r="S11" i="10"/>
  <c r="R11" i="10"/>
  <c r="T10" i="10"/>
  <c r="U10" i="10"/>
  <c r="W10" i="10"/>
  <c r="X9" i="10"/>
  <c r="U9" i="10"/>
  <c r="T9" i="10"/>
  <c r="V9" i="10"/>
  <c r="S9" i="10"/>
  <c r="R9" i="10"/>
  <c r="U8" i="10"/>
  <c r="T8" i="10"/>
  <c r="V8" i="10"/>
  <c r="S8" i="10"/>
  <c r="R8" i="10"/>
  <c r="U7" i="10"/>
  <c r="T7" i="10"/>
  <c r="S7" i="10"/>
  <c r="R7" i="10"/>
  <c r="U6" i="10"/>
  <c r="T6" i="10"/>
  <c r="S6" i="10"/>
  <c r="R6" i="10"/>
  <c r="U5" i="10"/>
  <c r="T5" i="10"/>
  <c r="S5" i="10"/>
  <c r="R5" i="10"/>
  <c r="U4" i="10"/>
  <c r="T4" i="10"/>
  <c r="S4" i="10"/>
  <c r="R4" i="10"/>
  <c r="U3" i="10"/>
  <c r="T3" i="10"/>
  <c r="W3" i="10"/>
  <c r="S3" i="10"/>
  <c r="R3" i="10"/>
  <c r="W13" i="10"/>
  <c r="W15" i="10"/>
  <c r="V16" i="10"/>
  <c r="V17" i="10"/>
  <c r="V20" i="10"/>
  <c r="V22" i="10"/>
  <c r="V27" i="10"/>
  <c r="V3" i="10"/>
  <c r="V5" i="10"/>
  <c r="W6" i="10"/>
  <c r="W22" i="10"/>
  <c r="W20" i="10"/>
  <c r="W21" i="10"/>
  <c r="X24" i="10"/>
  <c r="V23" i="10"/>
  <c r="V6" i="10"/>
  <c r="V7" i="10"/>
  <c r="W8" i="10"/>
  <c r="V14" i="10"/>
  <c r="V18" i="10"/>
  <c r="V24" i="10"/>
  <c r="V26" i="10"/>
  <c r="W11" i="10"/>
  <c r="W16" i="10"/>
  <c r="W4" i="10"/>
  <c r="V12" i="10"/>
  <c r="V21" i="10"/>
  <c r="V25" i="10"/>
  <c r="W12" i="10"/>
  <c r="X21" i="10"/>
  <c r="W5" i="10"/>
  <c r="W7" i="10"/>
  <c r="W9" i="10"/>
  <c r="W26" i="10"/>
  <c r="W28" i="10"/>
  <c r="W25" i="10"/>
  <c r="V4" i="10"/>
  <c r="U26" i="5"/>
  <c r="S26" i="5"/>
  <c r="U25" i="5"/>
  <c r="S25" i="5"/>
  <c r="U24" i="5"/>
  <c r="S24" i="5"/>
  <c r="U23" i="5"/>
  <c r="S23" i="5"/>
  <c r="U22" i="5"/>
  <c r="S22" i="5"/>
  <c r="T21" i="5"/>
  <c r="U21" i="5"/>
  <c r="S21" i="5"/>
  <c r="U20" i="5"/>
  <c r="S20" i="5"/>
  <c r="U19" i="5"/>
  <c r="S19" i="5"/>
  <c r="U18" i="5"/>
  <c r="S18" i="5"/>
  <c r="U17" i="5"/>
  <c r="S17" i="5"/>
  <c r="U16" i="5"/>
  <c r="S16" i="5"/>
  <c r="U15" i="5"/>
  <c r="S15" i="5"/>
  <c r="U14" i="5"/>
  <c r="S14" i="5"/>
  <c r="U13" i="5"/>
  <c r="S13" i="5"/>
  <c r="U12" i="5"/>
  <c r="S12" i="5"/>
  <c r="U11" i="5"/>
  <c r="S11" i="5"/>
  <c r="U10" i="5"/>
  <c r="S10" i="5"/>
  <c r="U9" i="5"/>
  <c r="S9" i="5"/>
  <c r="U8" i="5"/>
  <c r="S8" i="5"/>
  <c r="U7" i="5"/>
  <c r="S7" i="5"/>
  <c r="U6" i="5"/>
  <c r="S6" i="5"/>
  <c r="R29" i="5"/>
  <c r="R30" i="5"/>
  <c r="U6" i="8"/>
  <c r="T6" i="8"/>
  <c r="W6" i="8"/>
  <c r="Y6" i="8"/>
  <c r="S6" i="8"/>
  <c r="R6" i="8"/>
  <c r="U5" i="8"/>
  <c r="T5" i="8"/>
  <c r="S5" i="8"/>
  <c r="R5" i="8"/>
  <c r="U4" i="8"/>
  <c r="T4" i="8"/>
  <c r="S4" i="8"/>
  <c r="R4" i="8"/>
  <c r="V6" i="8"/>
  <c r="X6" i="8"/>
  <c r="R123" i="6"/>
  <c r="S123" i="6"/>
  <c r="T123" i="6"/>
  <c r="U123" i="6"/>
  <c r="Y123" i="6"/>
  <c r="V123" i="6"/>
  <c r="W123"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U6" i="6"/>
  <c r="T6" i="6"/>
  <c r="U7" i="6"/>
  <c r="T7" i="6"/>
  <c r="U8" i="6"/>
  <c r="T8" i="6"/>
  <c r="V8" i="6"/>
  <c r="U9" i="6"/>
  <c r="T9" i="6"/>
  <c r="U10" i="6"/>
  <c r="T10" i="6"/>
  <c r="U11" i="6"/>
  <c r="T11" i="6"/>
  <c r="V11" i="6"/>
  <c r="U12" i="6"/>
  <c r="T12" i="6"/>
  <c r="V12" i="6"/>
  <c r="U13" i="6"/>
  <c r="T13" i="6"/>
  <c r="V13" i="6"/>
  <c r="U14" i="6"/>
  <c r="T14" i="6"/>
  <c r="V14" i="6"/>
  <c r="U15" i="6"/>
  <c r="T15" i="6"/>
  <c r="U16" i="6"/>
  <c r="T16" i="6"/>
  <c r="V16" i="6"/>
  <c r="U17" i="6"/>
  <c r="T17" i="6"/>
  <c r="V17" i="6"/>
  <c r="U18" i="6"/>
  <c r="T18" i="6"/>
  <c r="U19" i="6"/>
  <c r="T19" i="6"/>
  <c r="V19" i="6"/>
  <c r="U20" i="6"/>
  <c r="T20" i="6"/>
  <c r="V20" i="6"/>
  <c r="U21" i="6"/>
  <c r="T21" i="6"/>
  <c r="V21" i="6"/>
  <c r="U22" i="6"/>
  <c r="T22" i="6"/>
  <c r="U23" i="6"/>
  <c r="T23" i="6"/>
  <c r="U24" i="6"/>
  <c r="T24" i="6"/>
  <c r="V24" i="6"/>
  <c r="U25" i="6"/>
  <c r="T25" i="6"/>
  <c r="V25" i="6"/>
  <c r="U26" i="6"/>
  <c r="T26" i="6"/>
  <c r="U27" i="6"/>
  <c r="T27" i="6"/>
  <c r="V27" i="6"/>
  <c r="U28" i="6"/>
  <c r="T28" i="6"/>
  <c r="V28" i="6"/>
  <c r="U29" i="6"/>
  <c r="T29" i="6"/>
  <c r="V29" i="6"/>
  <c r="U30" i="6"/>
  <c r="T30" i="6"/>
  <c r="V30" i="6"/>
  <c r="U31" i="6"/>
  <c r="T31" i="6"/>
  <c r="V31" i="6"/>
  <c r="U32" i="6"/>
  <c r="T32" i="6"/>
  <c r="V32" i="6"/>
  <c r="U33" i="6"/>
  <c r="T33" i="6"/>
  <c r="V33" i="6"/>
  <c r="U34" i="6"/>
  <c r="T34" i="6"/>
  <c r="U35" i="6"/>
  <c r="T35" i="6"/>
  <c r="V35" i="6"/>
  <c r="U36" i="6"/>
  <c r="T36" i="6"/>
  <c r="U37" i="6"/>
  <c r="T37" i="6"/>
  <c r="V37" i="6"/>
  <c r="U39" i="6"/>
  <c r="T39" i="6"/>
  <c r="U40" i="6"/>
  <c r="T40" i="6"/>
  <c r="V40" i="6"/>
  <c r="U41" i="6"/>
  <c r="T41" i="6"/>
  <c r="V41" i="6"/>
  <c r="U42" i="6"/>
  <c r="T42" i="6"/>
  <c r="U43" i="6"/>
  <c r="T43" i="6"/>
  <c r="U44" i="6"/>
  <c r="T44" i="6"/>
  <c r="V44" i="6"/>
  <c r="U45" i="6"/>
  <c r="T45" i="6"/>
  <c r="V45" i="6"/>
  <c r="U46" i="6"/>
  <c r="T46" i="6"/>
  <c r="V46" i="6"/>
  <c r="U47" i="6"/>
  <c r="T47" i="6"/>
  <c r="U48" i="6"/>
  <c r="T48" i="6"/>
  <c r="V48" i="6"/>
  <c r="U49" i="6"/>
  <c r="T49" i="6"/>
  <c r="U50" i="6"/>
  <c r="T50" i="6"/>
  <c r="U51" i="6"/>
  <c r="T51" i="6"/>
  <c r="V51" i="6"/>
  <c r="U52" i="6"/>
  <c r="T52" i="6"/>
  <c r="V52" i="6"/>
  <c r="U53" i="6"/>
  <c r="T53" i="6"/>
  <c r="U54" i="6"/>
  <c r="T54" i="6"/>
  <c r="U55" i="6"/>
  <c r="T55" i="6"/>
  <c r="V55" i="6"/>
  <c r="U56" i="6"/>
  <c r="T56" i="6"/>
  <c r="U57" i="6"/>
  <c r="T57" i="6"/>
  <c r="U58" i="6"/>
  <c r="T58" i="6"/>
  <c r="V58" i="6"/>
  <c r="U59" i="6"/>
  <c r="T59" i="6"/>
  <c r="V59" i="6"/>
  <c r="U60" i="6"/>
  <c r="T60" i="6"/>
  <c r="U61" i="6"/>
  <c r="T61" i="6"/>
  <c r="U62" i="6"/>
  <c r="T62" i="6"/>
  <c r="V62" i="6"/>
  <c r="U63" i="6"/>
  <c r="T63" i="6"/>
  <c r="U64" i="6"/>
  <c r="T64" i="6"/>
  <c r="U65" i="6"/>
  <c r="T65" i="6"/>
  <c r="V65" i="6"/>
  <c r="U66" i="6"/>
  <c r="T66" i="6"/>
  <c r="V66" i="6"/>
  <c r="U67" i="6"/>
  <c r="T67" i="6"/>
  <c r="U68" i="6"/>
  <c r="T68" i="6"/>
  <c r="V68" i="6"/>
  <c r="U69" i="6"/>
  <c r="T69" i="6"/>
  <c r="U70" i="6"/>
  <c r="T70" i="6"/>
  <c r="V70" i="6"/>
  <c r="U71" i="6"/>
  <c r="T71" i="6"/>
  <c r="V71" i="6"/>
  <c r="U72" i="6"/>
  <c r="T72" i="6"/>
  <c r="U73" i="6"/>
  <c r="T73" i="6"/>
  <c r="V73" i="6"/>
  <c r="U74" i="6"/>
  <c r="T74" i="6"/>
  <c r="V74" i="6"/>
  <c r="U75" i="6"/>
  <c r="T75" i="6"/>
  <c r="V75" i="6"/>
  <c r="U76" i="6"/>
  <c r="T76" i="6"/>
  <c r="V76" i="6"/>
  <c r="U77" i="6"/>
  <c r="T77" i="6"/>
  <c r="V77" i="6"/>
  <c r="U78" i="6"/>
  <c r="T78" i="6"/>
  <c r="V78" i="6"/>
  <c r="U79" i="6"/>
  <c r="T79" i="6"/>
  <c r="U80" i="6"/>
  <c r="T80" i="6"/>
  <c r="V80" i="6"/>
  <c r="U81" i="6"/>
  <c r="T81" i="6"/>
  <c r="U82" i="6"/>
  <c r="T82" i="6"/>
  <c r="U83" i="6"/>
  <c r="T83" i="6"/>
  <c r="U84" i="6"/>
  <c r="T84" i="6"/>
  <c r="U85" i="6"/>
  <c r="T85" i="6"/>
  <c r="V85" i="6"/>
  <c r="U86" i="6"/>
  <c r="T86" i="6"/>
  <c r="U87" i="6"/>
  <c r="T87" i="6"/>
  <c r="U88" i="6"/>
  <c r="T88" i="6"/>
  <c r="V88" i="6"/>
  <c r="U89" i="6"/>
  <c r="T89" i="6"/>
  <c r="V89" i="6"/>
  <c r="U90" i="6"/>
  <c r="T90" i="6"/>
  <c r="U91" i="6"/>
  <c r="T91" i="6"/>
  <c r="U92" i="6"/>
  <c r="T92" i="6"/>
  <c r="V92" i="6"/>
  <c r="U93" i="6"/>
  <c r="T93" i="6"/>
  <c r="U94" i="6"/>
  <c r="T94" i="6"/>
  <c r="U95" i="6"/>
  <c r="T95" i="6"/>
  <c r="V95" i="6"/>
  <c r="U96" i="6"/>
  <c r="T96" i="6"/>
  <c r="V96" i="6"/>
  <c r="U97" i="6"/>
  <c r="T97" i="6"/>
  <c r="U98" i="6"/>
  <c r="T98" i="6"/>
  <c r="U99" i="6"/>
  <c r="T99" i="6"/>
  <c r="V99" i="6"/>
  <c r="U100" i="6"/>
  <c r="T100" i="6"/>
  <c r="V100" i="6"/>
  <c r="U101" i="6"/>
  <c r="T101" i="6"/>
  <c r="U102" i="6"/>
  <c r="T102" i="6"/>
  <c r="U103" i="6"/>
  <c r="T103" i="6"/>
  <c r="V103" i="6"/>
  <c r="U104" i="6"/>
  <c r="T104" i="6"/>
  <c r="V104" i="6"/>
  <c r="U105" i="6"/>
  <c r="T105" i="6"/>
  <c r="U106" i="6"/>
  <c r="T106" i="6"/>
  <c r="V106" i="6"/>
  <c r="U107" i="6"/>
  <c r="T107" i="6"/>
  <c r="V107" i="6"/>
  <c r="U108" i="6"/>
  <c r="T108" i="6"/>
  <c r="U109" i="6"/>
  <c r="T109" i="6"/>
  <c r="U110" i="6"/>
  <c r="T110" i="6"/>
  <c r="V110" i="6"/>
  <c r="U111" i="6"/>
  <c r="T111" i="6"/>
  <c r="U112" i="6"/>
  <c r="T112" i="6"/>
  <c r="V112" i="6"/>
  <c r="U113" i="6"/>
  <c r="T113" i="6"/>
  <c r="V113" i="6"/>
  <c r="U114" i="6"/>
  <c r="T114" i="6"/>
  <c r="V114" i="6"/>
  <c r="U115" i="6"/>
  <c r="T115" i="6"/>
  <c r="V115" i="6"/>
  <c r="U116" i="6"/>
  <c r="T116" i="6"/>
  <c r="V116" i="6"/>
  <c r="U117" i="6"/>
  <c r="T117" i="6"/>
  <c r="U118" i="6"/>
  <c r="T118" i="6"/>
  <c r="V118" i="6"/>
  <c r="U119" i="6"/>
  <c r="T119" i="6"/>
  <c r="U120" i="6"/>
  <c r="T120" i="6"/>
  <c r="V120"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P121" i="6"/>
  <c r="O121" i="6"/>
  <c r="F121" i="6"/>
  <c r="V83" i="6"/>
  <c r="V43" i="6"/>
  <c r="V10" i="6"/>
  <c r="V111" i="6"/>
  <c r="V79" i="6"/>
  <c r="V63" i="6"/>
  <c r="V22" i="6"/>
  <c r="V6" i="6"/>
  <c r="V101" i="6"/>
  <c r="V50" i="6"/>
  <c r="V53" i="6"/>
  <c r="R132" i="4"/>
  <c r="S132" i="4"/>
  <c r="T132" i="4"/>
  <c r="U132" i="4"/>
  <c r="W132" i="4"/>
  <c r="Z132" i="4"/>
  <c r="X132" i="4"/>
  <c r="R130" i="4"/>
  <c r="S130" i="4"/>
  <c r="T130" i="4"/>
  <c r="U130" i="4"/>
  <c r="Y130" i="4"/>
  <c r="R129" i="4"/>
  <c r="S129" i="4"/>
  <c r="T129" i="4"/>
  <c r="U129" i="4"/>
  <c r="R127" i="4"/>
  <c r="S127" i="4"/>
  <c r="T127" i="4"/>
  <c r="U127" i="4"/>
  <c r="V127" i="4"/>
  <c r="R126" i="4"/>
  <c r="S126" i="4"/>
  <c r="T126" i="4"/>
  <c r="U126" i="4"/>
  <c r="X126" i="4"/>
  <c r="T121" i="4"/>
  <c r="U121" i="4"/>
  <c r="R93" i="4"/>
  <c r="R121" i="4"/>
  <c r="R34" i="4"/>
  <c r="R76" i="4"/>
  <c r="R124" i="4"/>
  <c r="S124" i="4"/>
  <c r="T124" i="4"/>
  <c r="U124" i="4"/>
  <c r="U122" i="4"/>
  <c r="T122" i="4"/>
  <c r="X122" i="4"/>
  <c r="S122" i="4"/>
  <c r="R122" i="4"/>
  <c r="S121"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5" i="4"/>
  <c r="R36" i="4"/>
  <c r="R37"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7" i="4"/>
  <c r="R78" i="4"/>
  <c r="R79" i="4"/>
  <c r="R80" i="4"/>
  <c r="R81" i="4"/>
  <c r="R82" i="4"/>
  <c r="R83" i="4"/>
  <c r="R84" i="4"/>
  <c r="R85" i="4"/>
  <c r="R86" i="4"/>
  <c r="R87" i="4"/>
  <c r="R89" i="4"/>
  <c r="R90" i="4"/>
  <c r="R91" i="4"/>
  <c r="R92"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U6" i="4"/>
  <c r="T6" i="4"/>
  <c r="V6" i="4"/>
  <c r="U7" i="4"/>
  <c r="T7" i="4"/>
  <c r="U8" i="4"/>
  <c r="T8" i="4"/>
  <c r="U9" i="4"/>
  <c r="T9" i="4"/>
  <c r="V9" i="4"/>
  <c r="U10" i="4"/>
  <c r="T10" i="4"/>
  <c r="U11" i="4"/>
  <c r="T11" i="4"/>
  <c r="U12" i="4"/>
  <c r="T12" i="4"/>
  <c r="V12" i="4"/>
  <c r="U13" i="4"/>
  <c r="T13" i="4"/>
  <c r="U14" i="4"/>
  <c r="T14" i="4"/>
  <c r="V14" i="4"/>
  <c r="U15" i="4"/>
  <c r="T15" i="4"/>
  <c r="V15" i="4"/>
  <c r="U16" i="4"/>
  <c r="T16" i="4"/>
  <c r="V16" i="4"/>
  <c r="U17" i="4"/>
  <c r="T17" i="4"/>
  <c r="V17" i="4"/>
  <c r="U18" i="4"/>
  <c r="T18" i="4"/>
  <c r="V18" i="4"/>
  <c r="U19" i="4"/>
  <c r="T19" i="4"/>
  <c r="V19" i="4"/>
  <c r="U20" i="4"/>
  <c r="T20" i="4"/>
  <c r="U21" i="4"/>
  <c r="T21" i="4"/>
  <c r="V21" i="4"/>
  <c r="U22" i="4"/>
  <c r="T22" i="4"/>
  <c r="U23" i="4"/>
  <c r="T23" i="4"/>
  <c r="U24" i="4"/>
  <c r="T24" i="4"/>
  <c r="U25" i="4"/>
  <c r="T25" i="4"/>
  <c r="U26" i="4"/>
  <c r="T26" i="4"/>
  <c r="V26" i="4"/>
  <c r="U27" i="4"/>
  <c r="T27" i="4"/>
  <c r="U28" i="4"/>
  <c r="T28" i="4"/>
  <c r="U29" i="4"/>
  <c r="T29" i="4"/>
  <c r="U30" i="4"/>
  <c r="T30" i="4"/>
  <c r="V30" i="4"/>
  <c r="U31" i="4"/>
  <c r="T31" i="4"/>
  <c r="U32" i="4"/>
  <c r="T32" i="4"/>
  <c r="V32" i="4"/>
  <c r="U33" i="4"/>
  <c r="T33" i="4"/>
  <c r="V33" i="4"/>
  <c r="U34" i="4"/>
  <c r="T34" i="4"/>
  <c r="U35" i="4"/>
  <c r="T35" i="4"/>
  <c r="U36" i="4"/>
  <c r="T36" i="4"/>
  <c r="U37" i="4"/>
  <c r="T37" i="4"/>
  <c r="U39" i="4"/>
  <c r="T39" i="4"/>
  <c r="U40" i="4"/>
  <c r="T40" i="4"/>
  <c r="U41" i="4"/>
  <c r="T41" i="4"/>
  <c r="V41" i="4"/>
  <c r="U42" i="4"/>
  <c r="T42" i="4"/>
  <c r="U43" i="4"/>
  <c r="T43" i="4"/>
  <c r="U44" i="4"/>
  <c r="T44" i="4"/>
  <c r="V44" i="4"/>
  <c r="U45" i="4"/>
  <c r="T45" i="4"/>
  <c r="V45" i="4"/>
  <c r="U46" i="4"/>
  <c r="T46" i="4"/>
  <c r="V46" i="4"/>
  <c r="U47" i="4"/>
  <c r="T47" i="4"/>
  <c r="V47" i="4"/>
  <c r="U48" i="4"/>
  <c r="T48" i="4"/>
  <c r="U49" i="4"/>
  <c r="T49" i="4"/>
  <c r="U50" i="4"/>
  <c r="T50" i="4"/>
  <c r="U51" i="4"/>
  <c r="T51" i="4"/>
  <c r="V51" i="4"/>
  <c r="U52" i="4"/>
  <c r="T52" i="4"/>
  <c r="U53" i="4"/>
  <c r="T53" i="4"/>
  <c r="V53" i="4"/>
  <c r="U54" i="4"/>
  <c r="T54" i="4"/>
  <c r="V54" i="4"/>
  <c r="U55" i="4"/>
  <c r="T55" i="4"/>
  <c r="V55" i="4"/>
  <c r="U56" i="4"/>
  <c r="T56" i="4"/>
  <c r="V56" i="4"/>
  <c r="U57" i="4"/>
  <c r="T57" i="4"/>
  <c r="U58" i="4"/>
  <c r="T58" i="4"/>
  <c r="U59" i="4"/>
  <c r="T59" i="4"/>
  <c r="U60" i="4"/>
  <c r="T60" i="4"/>
  <c r="V60" i="4"/>
  <c r="U61" i="4"/>
  <c r="T61" i="4"/>
  <c r="V61" i="4"/>
  <c r="U62" i="4"/>
  <c r="T62" i="4"/>
  <c r="U63" i="4"/>
  <c r="T63" i="4"/>
  <c r="V63" i="4"/>
  <c r="U64" i="4"/>
  <c r="T64" i="4"/>
  <c r="U65" i="4"/>
  <c r="T65" i="4"/>
  <c r="V65" i="4"/>
  <c r="U66" i="4"/>
  <c r="T66" i="4"/>
  <c r="V66" i="4"/>
  <c r="U67" i="4"/>
  <c r="T67" i="4"/>
  <c r="V67" i="4"/>
  <c r="U68" i="4"/>
  <c r="T68" i="4"/>
  <c r="V68" i="4"/>
  <c r="U69" i="4"/>
  <c r="T69" i="4"/>
  <c r="U70" i="4"/>
  <c r="T70" i="4"/>
  <c r="U71" i="4"/>
  <c r="T71" i="4"/>
  <c r="U72" i="4"/>
  <c r="T72" i="4"/>
  <c r="U73" i="4"/>
  <c r="T73" i="4"/>
  <c r="V73" i="4"/>
  <c r="U74" i="4"/>
  <c r="T74" i="4"/>
  <c r="U75" i="4"/>
  <c r="T75" i="4"/>
  <c r="V75" i="4"/>
  <c r="U76" i="4"/>
  <c r="T76" i="4"/>
  <c r="V76" i="4"/>
  <c r="U77" i="4"/>
  <c r="T77" i="4"/>
  <c r="V77" i="4"/>
  <c r="U78" i="4"/>
  <c r="T78" i="4"/>
  <c r="V78" i="4"/>
  <c r="U79" i="4"/>
  <c r="T79" i="4"/>
  <c r="U80" i="4"/>
  <c r="T80" i="4"/>
  <c r="V80" i="4"/>
  <c r="U81" i="4"/>
  <c r="T81" i="4"/>
  <c r="U82" i="4"/>
  <c r="T82" i="4"/>
  <c r="V82" i="4"/>
  <c r="U83" i="4"/>
  <c r="T83" i="4"/>
  <c r="V83" i="4"/>
  <c r="U84" i="4"/>
  <c r="T84" i="4"/>
  <c r="U85" i="4"/>
  <c r="T85" i="4"/>
  <c r="U86" i="4"/>
  <c r="T86" i="4"/>
  <c r="V86" i="4"/>
  <c r="U87" i="4"/>
  <c r="T87" i="4"/>
  <c r="V87" i="4"/>
  <c r="U89" i="4"/>
  <c r="T89" i="4"/>
  <c r="U90" i="4"/>
  <c r="T90" i="4"/>
  <c r="U91" i="4"/>
  <c r="T91" i="4"/>
  <c r="V91" i="4"/>
  <c r="U92" i="4"/>
  <c r="T92" i="4"/>
  <c r="U93" i="4"/>
  <c r="T93" i="4"/>
  <c r="V93" i="4"/>
  <c r="U94" i="4"/>
  <c r="T94" i="4"/>
  <c r="U95" i="4"/>
  <c r="T95" i="4"/>
  <c r="V95" i="4"/>
  <c r="U96" i="4"/>
  <c r="T96" i="4"/>
  <c r="V96" i="4"/>
  <c r="U97" i="4"/>
  <c r="T97" i="4"/>
  <c r="U98" i="4"/>
  <c r="T98" i="4"/>
  <c r="V98" i="4"/>
  <c r="U99" i="4"/>
  <c r="T99" i="4"/>
  <c r="V99" i="4"/>
  <c r="U100" i="4"/>
  <c r="T100" i="4"/>
  <c r="U101" i="4"/>
  <c r="T101" i="4"/>
  <c r="U102" i="4"/>
  <c r="T102" i="4"/>
  <c r="U103" i="4"/>
  <c r="T103" i="4"/>
  <c r="U104" i="4"/>
  <c r="T104" i="4"/>
  <c r="V104" i="4"/>
  <c r="U105" i="4"/>
  <c r="T105" i="4"/>
  <c r="V105" i="4"/>
  <c r="U106" i="4"/>
  <c r="T106" i="4"/>
  <c r="U107" i="4"/>
  <c r="T107" i="4"/>
  <c r="V107" i="4"/>
  <c r="U108" i="4"/>
  <c r="T108" i="4"/>
  <c r="U109" i="4"/>
  <c r="T109" i="4"/>
  <c r="U110" i="4"/>
  <c r="T110" i="4"/>
  <c r="U111" i="4"/>
  <c r="T111" i="4"/>
  <c r="U112" i="4"/>
  <c r="T112" i="4"/>
  <c r="U113" i="4"/>
  <c r="T113" i="4"/>
  <c r="V113" i="4"/>
  <c r="U114" i="4"/>
  <c r="T114" i="4"/>
  <c r="V114" i="4"/>
  <c r="U115" i="4"/>
  <c r="T115" i="4"/>
  <c r="U116" i="4"/>
  <c r="T116" i="4"/>
  <c r="V116" i="4"/>
  <c r="U117" i="4"/>
  <c r="T117" i="4"/>
  <c r="V117" i="4"/>
  <c r="U118" i="4"/>
  <c r="T118" i="4"/>
  <c r="U119" i="4"/>
  <c r="T119" i="4"/>
  <c r="V119" i="4"/>
  <c r="U120" i="4"/>
  <c r="T120" i="4"/>
  <c r="V120"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V79" i="4"/>
  <c r="V50" i="4"/>
  <c r="V103" i="4"/>
  <c r="W124" i="4"/>
  <c r="V39" i="4"/>
  <c r="V101" i="4"/>
  <c r="V92" i="4"/>
  <c r="V90" i="4"/>
  <c r="V71" i="4"/>
  <c r="V10" i="4"/>
  <c r="V121" i="4"/>
  <c r="V57" i="4"/>
  <c r="V49" i="4"/>
  <c r="V43" i="4"/>
  <c r="Y126" i="4"/>
  <c r="W127" i="4"/>
  <c r="V74" i="4"/>
  <c r="V7" i="4"/>
  <c r="T31" i="2"/>
  <c r="U31" i="2"/>
  <c r="W31" i="2"/>
  <c r="T32" i="2"/>
  <c r="U32" i="2"/>
  <c r="W32" i="2"/>
  <c r="T33" i="2"/>
  <c r="U33" i="2"/>
  <c r="W33" i="2"/>
  <c r="T35" i="2"/>
  <c r="U35" i="2"/>
  <c r="W35" i="2"/>
  <c r="T36" i="2"/>
  <c r="U36" i="2"/>
  <c r="W36" i="2"/>
  <c r="T37" i="2"/>
  <c r="U37" i="2"/>
  <c r="W37" i="2"/>
  <c r="T38" i="2"/>
  <c r="U38" i="2"/>
  <c r="W38" i="2"/>
  <c r="T39" i="2"/>
  <c r="U39" i="2"/>
  <c r="W39" i="2"/>
  <c r="T40" i="2"/>
  <c r="U40" i="2"/>
  <c r="W40" i="2"/>
  <c r="T41" i="2"/>
  <c r="U41" i="2"/>
  <c r="W41" i="2"/>
  <c r="T42" i="2"/>
  <c r="U42" i="2"/>
  <c r="W42" i="2"/>
  <c r="T43" i="2"/>
  <c r="U43" i="2"/>
  <c r="W43" i="2"/>
  <c r="T44" i="2"/>
  <c r="U44" i="2"/>
  <c r="W44" i="2"/>
  <c r="T45" i="2"/>
  <c r="U45" i="2"/>
  <c r="W45" i="2"/>
  <c r="T46" i="2"/>
  <c r="U46" i="2"/>
  <c r="W46" i="2"/>
  <c r="T47" i="2"/>
  <c r="U47" i="2"/>
  <c r="W47" i="2"/>
  <c r="T48" i="2"/>
  <c r="U48" i="2"/>
  <c r="W48" i="2"/>
  <c r="T49" i="2"/>
  <c r="U49" i="2"/>
  <c r="W49" i="2"/>
  <c r="T50" i="2"/>
  <c r="U50" i="2"/>
  <c r="W50" i="2"/>
  <c r="T51" i="2"/>
  <c r="U51" i="2"/>
  <c r="W51" i="2"/>
  <c r="T52" i="2"/>
  <c r="U52" i="2"/>
  <c r="W52" i="2"/>
  <c r="T53" i="2"/>
  <c r="U53" i="2"/>
  <c r="W53" i="2"/>
  <c r="T54" i="2"/>
  <c r="U54" i="2"/>
  <c r="W54" i="2"/>
  <c r="T55" i="2"/>
  <c r="U55" i="2"/>
  <c r="W55" i="2"/>
  <c r="T56" i="2"/>
  <c r="U56" i="2"/>
  <c r="W56" i="2"/>
  <c r="T57" i="2"/>
  <c r="U57" i="2"/>
  <c r="W57" i="2"/>
  <c r="T58" i="2"/>
  <c r="U58" i="2"/>
  <c r="W58" i="2"/>
  <c r="T59" i="2"/>
  <c r="U59" i="2"/>
  <c r="W59" i="2"/>
  <c r="T60" i="2"/>
  <c r="U60" i="2"/>
  <c r="W60" i="2"/>
  <c r="T61" i="2"/>
  <c r="U61" i="2"/>
  <c r="W61" i="2"/>
  <c r="T62" i="2"/>
  <c r="U62" i="2"/>
  <c r="W62" i="2"/>
  <c r="T63" i="2"/>
  <c r="U63" i="2"/>
  <c r="W63" i="2"/>
  <c r="R65" i="2"/>
  <c r="S65" i="2"/>
  <c r="T65" i="2"/>
  <c r="U65" i="2"/>
  <c r="Y65" i="2"/>
  <c r="T81" i="2"/>
  <c r="U81" i="2"/>
  <c r="W81" i="2"/>
  <c r="T82" i="2"/>
  <c r="U82" i="2"/>
  <c r="W82" i="2"/>
  <c r="T83" i="2"/>
  <c r="U83" i="2"/>
  <c r="W83" i="2"/>
  <c r="T84" i="2"/>
  <c r="U84" i="2"/>
  <c r="W84" i="2"/>
  <c r="T85" i="2"/>
  <c r="U85" i="2"/>
  <c r="W85" i="2"/>
  <c r="T86" i="2"/>
  <c r="U86" i="2"/>
  <c r="W86" i="2"/>
  <c r="T87" i="2"/>
  <c r="U87" i="2"/>
  <c r="W87" i="2"/>
  <c r="T88" i="2"/>
  <c r="U88" i="2"/>
  <c r="W88" i="2"/>
  <c r="T89" i="2"/>
  <c r="U89" i="2"/>
  <c r="W89" i="2"/>
  <c r="Z89" i="2"/>
  <c r="T74" i="2"/>
  <c r="U74" i="2"/>
  <c r="W74" i="2"/>
  <c r="T75" i="2"/>
  <c r="U75" i="2"/>
  <c r="W75" i="2"/>
  <c r="T76" i="2"/>
  <c r="U76" i="2"/>
  <c r="W76" i="2"/>
  <c r="T77" i="2"/>
  <c r="U77" i="2"/>
  <c r="T78" i="2"/>
  <c r="U78" i="2"/>
  <c r="W78" i="2"/>
  <c r="T79" i="2"/>
  <c r="U79" i="2"/>
  <c r="W79" i="2"/>
  <c r="T80" i="2"/>
  <c r="U80" i="2"/>
  <c r="W80" i="2"/>
  <c r="T66" i="2"/>
  <c r="U66" i="2"/>
  <c r="W66" i="2"/>
  <c r="T67" i="2"/>
  <c r="U67" i="2"/>
  <c r="W67" i="2"/>
  <c r="T68" i="2"/>
  <c r="U68" i="2"/>
  <c r="W68" i="2"/>
  <c r="T70" i="2"/>
  <c r="U70" i="2"/>
  <c r="W70" i="2"/>
  <c r="T71" i="2"/>
  <c r="U71" i="2"/>
  <c r="W71" i="2"/>
  <c r="T72" i="2"/>
  <c r="U72" i="2"/>
  <c r="W72" i="2"/>
  <c r="T73" i="2"/>
  <c r="U73" i="2"/>
  <c r="W73" i="2"/>
  <c r="T23" i="2"/>
  <c r="U23" i="2"/>
  <c r="W23" i="2"/>
  <c r="T24" i="2"/>
  <c r="U24" i="2"/>
  <c r="T25" i="2"/>
  <c r="U25" i="2"/>
  <c r="W25" i="2"/>
  <c r="T26" i="2"/>
  <c r="U26" i="2"/>
  <c r="W26" i="2"/>
  <c r="T27" i="2"/>
  <c r="U27" i="2"/>
  <c r="W27" i="2"/>
  <c r="T28" i="2"/>
  <c r="U28" i="2"/>
  <c r="W28" i="2"/>
  <c r="T29" i="2"/>
  <c r="U29" i="2"/>
  <c r="T30" i="2"/>
  <c r="U30" i="2"/>
  <c r="Y30" i="2"/>
  <c r="T19" i="2"/>
  <c r="U19" i="2"/>
  <c r="W19" i="2"/>
  <c r="T20" i="2"/>
  <c r="U20" i="2"/>
  <c r="W20" i="2"/>
  <c r="T21" i="2"/>
  <c r="U21" i="2"/>
  <c r="Y21" i="2"/>
  <c r="T6" i="2"/>
  <c r="U6" i="2"/>
  <c r="W6" i="2"/>
  <c r="T7" i="2"/>
  <c r="U7" i="2"/>
  <c r="W7" i="2"/>
  <c r="T9" i="2"/>
  <c r="U9" i="2"/>
  <c r="T10" i="2"/>
  <c r="U10" i="2"/>
  <c r="Y10" i="2"/>
  <c r="T11" i="2"/>
  <c r="U11" i="2"/>
  <c r="T12" i="2"/>
  <c r="U12" i="2"/>
  <c r="W12" i="2"/>
  <c r="T13" i="2"/>
  <c r="U13" i="2"/>
  <c r="Y13" i="2"/>
  <c r="W13" i="2"/>
  <c r="T14" i="2"/>
  <c r="U14" i="2"/>
  <c r="V14" i="2"/>
  <c r="T15" i="2"/>
  <c r="U15" i="2"/>
  <c r="W15" i="2"/>
  <c r="F90" i="2"/>
  <c r="F94" i="2"/>
  <c r="S15" i="2"/>
  <c r="R15" i="2"/>
  <c r="S14" i="2"/>
  <c r="R14" i="2"/>
  <c r="S13" i="2"/>
  <c r="R13" i="2"/>
  <c r="S12" i="2"/>
  <c r="R12" i="2"/>
  <c r="S11" i="2"/>
  <c r="R11" i="2"/>
  <c r="X11" i="2"/>
  <c r="X13" i="2"/>
  <c r="V11" i="2"/>
  <c r="V13" i="2"/>
  <c r="Y14" i="2"/>
  <c r="O90" i="2"/>
  <c r="P90" i="2"/>
  <c r="S63" i="2"/>
  <c r="R63" i="2"/>
  <c r="S62" i="2"/>
  <c r="R62" i="2"/>
  <c r="S61" i="2"/>
  <c r="R61" i="2"/>
  <c r="S60" i="2"/>
  <c r="R60" i="2"/>
  <c r="S59" i="2"/>
  <c r="R59" i="2"/>
  <c r="S58" i="2"/>
  <c r="R58" i="2"/>
  <c r="S57" i="2"/>
  <c r="R57" i="2"/>
  <c r="S56" i="2"/>
  <c r="R56" i="2"/>
  <c r="S55" i="2"/>
  <c r="R55" i="2"/>
  <c r="S54" i="2"/>
  <c r="R54" i="2"/>
  <c r="S53" i="2"/>
  <c r="R53" i="2"/>
  <c r="S52" i="2"/>
  <c r="R52" i="2"/>
  <c r="S51" i="2"/>
  <c r="R51" i="2"/>
  <c r="S50" i="2"/>
  <c r="R50" i="2"/>
  <c r="S49" i="2"/>
  <c r="R49" i="2"/>
  <c r="S48" i="2"/>
  <c r="R48" i="2"/>
  <c r="S47" i="2"/>
  <c r="R47" i="2"/>
  <c r="S46" i="2"/>
  <c r="R46" i="2"/>
  <c r="S45" i="2"/>
  <c r="R45" i="2"/>
  <c r="S44" i="2"/>
  <c r="R44" i="2"/>
  <c r="S43" i="2"/>
  <c r="R43" i="2"/>
  <c r="S42" i="2"/>
  <c r="R42" i="2"/>
  <c r="S41" i="2"/>
  <c r="R41" i="2"/>
  <c r="S40" i="2"/>
  <c r="R40" i="2"/>
  <c r="S39" i="2"/>
  <c r="R39" i="2"/>
  <c r="S38" i="2"/>
  <c r="R38" i="2"/>
  <c r="S37" i="2"/>
  <c r="R37" i="2"/>
  <c r="S36" i="2"/>
  <c r="R36" i="2"/>
  <c r="S35" i="2"/>
  <c r="R35" i="2"/>
  <c r="Y46" i="2"/>
  <c r="Y47" i="2"/>
  <c r="Y50" i="2"/>
  <c r="Y51" i="2"/>
  <c r="Y54" i="2"/>
  <c r="Y55" i="2"/>
  <c r="Y62" i="2"/>
  <c r="Y63" i="2"/>
  <c r="V56" i="2"/>
  <c r="V42" i="2"/>
  <c r="V44" i="2"/>
  <c r="V38" i="2"/>
  <c r="Y58" i="2"/>
  <c r="Y59" i="2"/>
  <c r="V61" i="2"/>
  <c r="V46" i="2"/>
  <c r="Y48" i="2"/>
  <c r="V50" i="2"/>
  <c r="V54" i="2"/>
  <c r="Y56" i="2"/>
  <c r="V58" i="2"/>
  <c r="Y60" i="2"/>
  <c r="V62" i="2"/>
  <c r="V53" i="2"/>
  <c r="V57" i="2"/>
  <c r="V35" i="2"/>
  <c r="V39" i="2"/>
  <c r="V43" i="2"/>
  <c r="V47" i="2"/>
  <c r="Y49" i="2"/>
  <c r="V51" i="2"/>
  <c r="Y53" i="2"/>
  <c r="V55" i="2"/>
  <c r="V59" i="2"/>
  <c r="Y61" i="2"/>
  <c r="V63" i="2"/>
  <c r="X35" i="2"/>
  <c r="X37" i="2"/>
  <c r="X38" i="2"/>
  <c r="X39" i="2"/>
  <c r="X40" i="2"/>
  <c r="X42" i="2"/>
  <c r="X43" i="2"/>
  <c r="X45" i="2"/>
  <c r="X46" i="2"/>
  <c r="X47" i="2"/>
  <c r="X50" i="2"/>
  <c r="X51" i="2"/>
  <c r="X52" i="2"/>
  <c r="X54" i="2"/>
  <c r="X55" i="2"/>
  <c r="X56" i="2"/>
  <c r="X58" i="2"/>
  <c r="X59" i="2"/>
  <c r="X61" i="2"/>
  <c r="X62" i="2"/>
  <c r="X63" i="2"/>
  <c r="Y35" i="2"/>
  <c r="Y36" i="2"/>
  <c r="Y38" i="2"/>
  <c r="Y39" i="2"/>
  <c r="Y40" i="2"/>
  <c r="Y42" i="2"/>
  <c r="Y43" i="2"/>
  <c r="Y45" i="2"/>
  <c r="U18" i="2"/>
  <c r="R18" i="2"/>
  <c r="S18" i="2"/>
  <c r="T18" i="2"/>
  <c r="Y18" i="2"/>
  <c r="S70" i="2"/>
  <c r="R70" i="2"/>
  <c r="V70" i="2"/>
  <c r="S24" i="2"/>
  <c r="R24" i="2"/>
  <c r="X24" i="2"/>
  <c r="S73" i="2"/>
  <c r="R73" i="2"/>
  <c r="V73" i="2"/>
  <c r="Y73" i="2"/>
  <c r="X73" i="2"/>
  <c r="R68" i="2"/>
  <c r="S68" i="2"/>
  <c r="R67" i="2"/>
  <c r="S67" i="2"/>
  <c r="R66" i="2"/>
  <c r="S66" i="2"/>
  <c r="T16" i="2"/>
  <c r="U16" i="2"/>
  <c r="W16" i="2"/>
  <c r="T17" i="2"/>
  <c r="U17" i="2"/>
  <c r="W17" i="2"/>
  <c r="S72" i="2"/>
  <c r="R72" i="2"/>
  <c r="S71" i="2"/>
  <c r="R71" i="2"/>
  <c r="U90" i="2"/>
  <c r="S16" i="2"/>
  <c r="S28" i="2"/>
  <c r="R16" i="2"/>
  <c r="R28" i="2"/>
  <c r="R26" i="2"/>
  <c r="R89" i="2"/>
  <c r="S88" i="2"/>
  <c r="S87" i="2"/>
  <c r="S86" i="2"/>
  <c r="S85" i="2"/>
  <c r="S84" i="2"/>
  <c r="R88" i="2"/>
  <c r="R87" i="2"/>
  <c r="R86" i="2"/>
  <c r="R85" i="2"/>
  <c r="R84" i="2"/>
  <c r="S89" i="2"/>
  <c r="S6" i="2"/>
  <c r="R6" i="2"/>
  <c r="S83" i="2"/>
  <c r="R83" i="2"/>
  <c r="R30" i="2"/>
  <c r="R29" i="2"/>
  <c r="R10" i="2"/>
  <c r="S10" i="2"/>
  <c r="R33" i="2"/>
  <c r="R7" i="2"/>
  <c r="R9" i="2"/>
  <c r="R27" i="2"/>
  <c r="R19" i="2"/>
  <c r="R31" i="2"/>
  <c r="R74" i="2"/>
  <c r="R75" i="2"/>
  <c r="R76" i="2"/>
  <c r="R77" i="2"/>
  <c r="R78" i="2"/>
  <c r="R79" i="2"/>
  <c r="R80" i="2"/>
  <c r="R81" i="2"/>
  <c r="S33" i="2"/>
  <c r="R21" i="2"/>
  <c r="S21" i="2"/>
  <c r="R20" i="2"/>
  <c r="S20" i="2"/>
  <c r="S79" i="2"/>
  <c r="S76" i="2"/>
  <c r="S77" i="2"/>
  <c r="S75" i="2"/>
  <c r="S23" i="2"/>
  <c r="S80" i="2"/>
  <c r="S82" i="2"/>
  <c r="R82" i="2"/>
  <c r="S32" i="2"/>
  <c r="R32" i="2"/>
  <c r="S9" i="2"/>
  <c r="S25" i="2"/>
  <c r="R25" i="2"/>
  <c r="S78" i="2"/>
  <c r="S27" i="2"/>
  <c r="S19" i="2"/>
  <c r="S74" i="2"/>
  <c r="S7" i="2"/>
  <c r="S81" i="2"/>
  <c r="S26" i="2"/>
  <c r="S31" i="2"/>
  <c r="S90" i="2"/>
  <c r="Y27" i="2"/>
  <c r="V33" i="2"/>
  <c r="Y88" i="2"/>
  <c r="X6" i="2"/>
  <c r="X23" i="2"/>
  <c r="Y29" i="2"/>
  <c r="V16" i="2"/>
  <c r="X21" i="2"/>
  <c r="Y81" i="2"/>
  <c r="V7" i="2"/>
  <c r="X16" i="2"/>
  <c r="Y79" i="2"/>
  <c r="V27" i="2"/>
  <c r="V21" i="2"/>
  <c r="V23" i="2"/>
  <c r="X83" i="2"/>
  <c r="V79" i="2"/>
  <c r="V78" i="2"/>
  <c r="V88" i="2"/>
  <c r="V20" i="2"/>
  <c r="X20" i="2"/>
  <c r="Y23" i="2"/>
  <c r="X88" i="2"/>
  <c r="Y86" i="2"/>
  <c r="Y20" i="2"/>
  <c r="V75" i="2"/>
  <c r="Y75" i="2"/>
  <c r="Y9" i="2"/>
  <c r="Y67" i="2"/>
  <c r="X67" i="2"/>
  <c r="Y87" i="2"/>
  <c r="V87" i="2"/>
  <c r="X87" i="2"/>
  <c r="X76" i="2"/>
  <c r="V76" i="2"/>
  <c r="Y76" i="2"/>
  <c r="Y33" i="2"/>
  <c r="X33" i="2"/>
  <c r="V31" i="2"/>
  <c r="V30" i="2"/>
  <c r="Y7" i="2"/>
  <c r="X7" i="2"/>
  <c r="Y66" i="2"/>
  <c r="X66" i="2"/>
  <c r="Y71" i="2"/>
  <c r="Y84" i="2"/>
  <c r="Y80" i="2"/>
  <c r="Y83" i="2"/>
  <c r="V83" i="2"/>
  <c r="Y19" i="2"/>
  <c r="X19" i="2"/>
  <c r="V19" i="2"/>
  <c r="Y26" i="2"/>
  <c r="X79" i="2"/>
  <c r="Y6" i="2"/>
  <c r="X27" i="2"/>
  <c r="X71" i="2"/>
  <c r="X25" i="2"/>
  <c r="V6" i="2"/>
  <c r="X68" i="2"/>
  <c r="V68" i="2"/>
  <c r="Y16" i="2"/>
  <c r="V66" i="2"/>
  <c r="V67" i="2"/>
  <c r="V72" i="2"/>
  <c r="V84" i="2"/>
  <c r="V86" i="2"/>
  <c r="V9" i="2"/>
  <c r="V81" i="2"/>
  <c r="V71" i="2"/>
  <c r="V28" i="2"/>
  <c r="X84" i="2"/>
  <c r="X75" i="2"/>
  <c r="X86" i="2"/>
  <c r="X9" i="2"/>
  <c r="X81" i="2"/>
  <c r="X29" i="2"/>
  <c r="X26" i="2"/>
  <c r="Y85" i="2"/>
  <c r="Y32" i="2"/>
  <c r="Y78" i="2"/>
  <c r="Y28" i="2"/>
  <c r="Y74" i="2"/>
  <c r="Y31" i="2"/>
  <c r="X72" i="2"/>
  <c r="V74" i="2"/>
  <c r="V85" i="2"/>
  <c r="V32" i="2"/>
  <c r="V29" i="2"/>
  <c r="X85" i="2"/>
  <c r="X32" i="2"/>
  <c r="X78" i="2"/>
  <c r="X28" i="2"/>
  <c r="X74" i="2"/>
  <c r="X31" i="2"/>
  <c r="Y68" i="2"/>
  <c r="Y72" i="2"/>
  <c r="V26" i="2"/>
  <c r="W77" i="2"/>
  <c r="Z80" i="2"/>
  <c r="X77" i="2"/>
  <c r="X82" i="2"/>
  <c r="Y77" i="2"/>
  <c r="V77" i="2"/>
  <c r="X18" i="2"/>
  <c r="X60" i="2"/>
  <c r="V60" i="2"/>
  <c r="X49" i="2"/>
  <c r="V49" i="2"/>
  <c r="X44" i="2"/>
  <c r="Y44" i="2"/>
  <c r="X15" i="2"/>
  <c r="W24" i="2"/>
  <c r="Y24" i="2"/>
  <c r="V24" i="2"/>
  <c r="W11" i="2"/>
  <c r="Y11" i="2"/>
  <c r="W14" i="2"/>
  <c r="V45" i="2"/>
  <c r="V40" i="2"/>
  <c r="X14" i="2"/>
  <c r="V48" i="2"/>
  <c r="R90" i="2"/>
  <c r="R32" i="5"/>
  <c r="R31" i="5"/>
  <c r="V98" i="6"/>
  <c r="V119" i="6"/>
  <c r="V109" i="6"/>
  <c r="V102" i="6"/>
  <c r="V81" i="6"/>
  <c r="V56" i="6"/>
  <c r="V93" i="6"/>
  <c r="V91" i="6"/>
  <c r="V86" i="6"/>
  <c r="V84" i="6"/>
  <c r="V82" i="6"/>
  <c r="V69" i="6"/>
  <c r="V64" i="6"/>
  <c r="V60" i="6"/>
  <c r="V57" i="6"/>
  <c r="V47" i="6"/>
  <c r="V42" i="6"/>
  <c r="V39" i="6"/>
  <c r="V36" i="6"/>
  <c r="V34" i="6"/>
  <c r="V26" i="6"/>
  <c r="V18" i="6"/>
  <c r="V112" i="4"/>
  <c r="V108" i="4"/>
  <c r="V70" i="4"/>
  <c r="V69" i="4"/>
  <c r="V52" i="4"/>
  <c r="V29" i="4"/>
  <c r="V27" i="4"/>
  <c r="V20" i="4"/>
  <c r="X130" i="4"/>
  <c r="Y127" i="4"/>
  <c r="V126" i="4"/>
  <c r="V122" i="4"/>
  <c r="V118" i="4"/>
  <c r="V111" i="4"/>
  <c r="V94" i="4"/>
  <c r="V58" i="4"/>
  <c r="V31" i="4"/>
  <c r="V13" i="4"/>
  <c r="Y132" i="4"/>
  <c r="W130" i="4"/>
  <c r="X127" i="4"/>
  <c r="W126" i="4"/>
  <c r="V110" i="4"/>
  <c r="V97" i="4"/>
  <c r="V85" i="4"/>
  <c r="V59" i="4"/>
  <c r="V36" i="4"/>
  <c r="V34" i="4"/>
  <c r="V24" i="4"/>
  <c r="V22" i="4"/>
  <c r="V11" i="4"/>
  <c r="V106" i="4"/>
  <c r="V89" i="4"/>
  <c r="V81" i="4"/>
  <c r="V64" i="4"/>
  <c r="V62" i="4"/>
  <c r="V42" i="4"/>
  <c r="V40" i="4"/>
  <c r="V37" i="4"/>
  <c r="V35" i="4"/>
  <c r="V25" i="4"/>
  <c r="V23" i="4"/>
  <c r="V129" i="4"/>
  <c r="V130" i="4"/>
  <c r="V132" i="4"/>
  <c r="V15" i="2"/>
  <c r="V18" i="2"/>
  <c r="Y82" i="2"/>
  <c r="Y17" i="2"/>
  <c r="Y70" i="2"/>
  <c r="W18" i="2"/>
  <c r="Y41" i="2"/>
  <c r="Y37" i="2"/>
  <c r="X57" i="2"/>
  <c r="X53" i="2"/>
  <c r="X48" i="2"/>
  <c r="Y57" i="2"/>
  <c r="Y52" i="2"/>
  <c r="V37" i="2"/>
  <c r="W10" i="2"/>
  <c r="W9" i="2"/>
  <c r="W30" i="2"/>
  <c r="W29" i="2"/>
  <c r="Z30" i="2"/>
  <c r="Y15" i="2"/>
  <c r="V82" i="2"/>
  <c r="X10" i="2"/>
  <c r="V80" i="2"/>
  <c r="V10" i="2"/>
  <c r="Y89" i="2"/>
  <c r="X30" i="2"/>
  <c r="X80" i="2"/>
  <c r="X41" i="2"/>
  <c r="V41" i="2"/>
  <c r="V36" i="2"/>
  <c r="X12" i="2"/>
  <c r="W21" i="2"/>
  <c r="Z21" i="2"/>
  <c r="V7" i="6"/>
  <c r="V9" i="6"/>
  <c r="V15" i="6"/>
  <c r="V23" i="6"/>
  <c r="V49" i="6"/>
  <c r="V54" i="6"/>
  <c r="V61" i="6"/>
  <c r="V67" i="6"/>
  <c r="V72" i="6"/>
  <c r="V87" i="6"/>
  <c r="V90" i="6"/>
  <c r="V94" i="6"/>
  <c r="V97" i="6"/>
  <c r="V105" i="6"/>
  <c r="V108" i="6"/>
  <c r="V117" i="6"/>
  <c r="V121" i="6" a="1"/>
  <c r="T121" i="6" a="1"/>
  <c r="T121" i="6"/>
  <c r="R121" i="6"/>
  <c r="X65" i="2"/>
  <c r="W65" i="2"/>
  <c r="Z73" i="2"/>
  <c r="V65" i="2"/>
  <c r="X89" i="2"/>
  <c r="X17" i="2"/>
  <c r="V89" i="2"/>
  <c r="Y25" i="2"/>
  <c r="V25" i="2"/>
  <c r="X70" i="2"/>
  <c r="X36" i="2"/>
  <c r="V52" i="2"/>
  <c r="Y12" i="2"/>
  <c r="Y90" i="2"/>
  <c r="V12" i="2"/>
  <c r="Y124" i="4"/>
  <c r="X124" i="4"/>
  <c r="V124" i="4"/>
  <c r="Y4" i="8"/>
  <c r="W4" i="8"/>
  <c r="X4" i="8"/>
  <c r="W5" i="8"/>
  <c r="X5" i="8"/>
  <c r="Y5" i="8"/>
  <c r="Y122" i="4"/>
  <c r="W122" i="4"/>
  <c r="Y129" i="4"/>
  <c r="X129" i="4"/>
  <c r="W129" i="4"/>
  <c r="V84" i="4"/>
  <c r="V8" i="4"/>
  <c r="W121" i="4"/>
  <c r="X121" i="4"/>
  <c r="Y121" i="4"/>
  <c r="V115" i="4"/>
  <c r="V109" i="4"/>
  <c r="V102" i="4"/>
  <c r="V100" i="4"/>
  <c r="V72" i="4"/>
  <c r="V48" i="4"/>
  <c r="V28" i="4"/>
  <c r="U121" i="6" a="1"/>
  <c r="U121" i="6"/>
  <c r="V4" i="8"/>
  <c r="V5" i="8"/>
  <c r="S121" i="6"/>
  <c r="X123" i="6"/>
  <c r="X90" i="2"/>
  <c r="V121" i="6"/>
  <c r="X121" i="6"/>
  <c r="W102" i="4"/>
  <c r="W92" i="4"/>
  <c r="W46" i="4"/>
  <c r="W99" i="4"/>
  <c r="W20" i="4"/>
  <c r="W103" i="4"/>
  <c r="W9" i="4"/>
  <c r="W66" i="4"/>
  <c r="W18" i="4"/>
  <c r="W82" i="4"/>
  <c r="W49" i="4"/>
  <c r="W21" i="4"/>
  <c r="W90" i="4"/>
  <c r="W75" i="4"/>
  <c r="W76" i="4"/>
  <c r="W85" i="4"/>
  <c r="W63" i="4"/>
  <c r="W41" i="4"/>
  <c r="W48" i="4"/>
  <c r="W10" i="4"/>
  <c r="W79" i="4"/>
  <c r="W56" i="4"/>
  <c r="W91" i="4"/>
  <c r="W43" i="4"/>
  <c r="W62" i="4"/>
  <c r="W8" i="4"/>
  <c r="W94" i="4"/>
  <c r="W107" i="4"/>
  <c r="W97" i="4"/>
  <c r="W74" i="4"/>
  <c r="W52" i="4"/>
  <c r="W95" i="4"/>
  <c r="W27" i="4"/>
  <c r="W100" i="4"/>
  <c r="W117" i="4"/>
  <c r="W73" i="4"/>
  <c r="W69" i="4"/>
  <c r="W7" i="4"/>
  <c r="W80" i="4"/>
  <c r="W13" i="4"/>
  <c r="W19" i="4"/>
  <c r="W84" i="4"/>
  <c r="W68" i="4"/>
  <c r="W104" i="4"/>
  <c r="W32" i="4"/>
  <c r="W39" i="4"/>
  <c r="W53" i="4"/>
  <c r="W47" i="4"/>
  <c r="W89" i="4"/>
  <c r="W17" i="4"/>
  <c r="W61" i="4"/>
  <c r="W12" i="4"/>
  <c r="W67" i="4"/>
  <c r="W64" i="4"/>
  <c r="W15" i="4"/>
  <c r="W34" i="4"/>
  <c r="W93" i="4"/>
  <c r="W31" i="4"/>
  <c r="W26" i="4"/>
  <c r="W44" i="4"/>
  <c r="W98" i="4"/>
  <c r="W110" i="4"/>
  <c r="W77" i="4"/>
  <c r="W57" i="4"/>
  <c r="W87" i="4"/>
  <c r="W28" i="4"/>
  <c r="W22" i="4"/>
  <c r="W120" i="4"/>
  <c r="W60" i="4"/>
  <c r="W83" i="4"/>
  <c r="W118" i="4"/>
  <c r="W11" i="4"/>
  <c r="W54" i="4"/>
  <c r="W109" i="4"/>
  <c r="W40" i="4"/>
  <c r="W78" i="4"/>
  <c r="W119" i="4"/>
  <c r="W33" i="4"/>
  <c r="W30" i="4"/>
  <c r="W16" i="4"/>
  <c r="W23" i="4"/>
  <c r="W50" i="4"/>
  <c r="W105" i="4"/>
  <c r="W45" i="4"/>
  <c r="W81" i="4"/>
  <c r="W111" i="4"/>
  <c r="W51" i="4"/>
  <c r="W65" i="4"/>
  <c r="W59" i="4"/>
  <c r="W101" i="4"/>
  <c r="W116" i="4"/>
  <c r="W108" i="4"/>
  <c r="W58" i="4"/>
  <c r="W55" i="4"/>
  <c r="W72" i="4"/>
  <c r="W36" i="4"/>
  <c r="W14" i="4"/>
  <c r="W96" i="4"/>
  <c r="W115" i="4"/>
  <c r="W24" i="4"/>
  <c r="W106" i="4"/>
  <c r="W114" i="4"/>
  <c r="W42" i="4"/>
  <c r="W113" i="4"/>
  <c r="W6" i="4"/>
  <c r="W25" i="4"/>
  <c r="W29" i="4"/>
  <c r="W37" i="4"/>
  <c r="W35" i="4"/>
  <c r="W86" i="4"/>
  <c r="W71" i="4"/>
  <c r="W70" i="4"/>
  <c r="W112" i="4"/>
  <c r="Z15" i="2"/>
  <c r="Z90" i="2"/>
  <c r="W90" i="2"/>
  <c r="Y80" i="4"/>
  <c r="Y39" i="4"/>
  <c r="Y108" i="4"/>
  <c r="Y100" i="4"/>
  <c r="Y97" i="4"/>
  <c r="Y14" i="4"/>
  <c r="Y94" i="4"/>
  <c r="Y79" i="4"/>
  <c r="Y91" i="4"/>
  <c r="Y93" i="4"/>
  <c r="Y112" i="4"/>
  <c r="Y73" i="4"/>
  <c r="Y35" i="4"/>
  <c r="Y71" i="4"/>
  <c r="Y45" i="4"/>
  <c r="Y64" i="4"/>
  <c r="Y50" i="4"/>
  <c r="Y70" i="4"/>
  <c r="Y37" i="4"/>
  <c r="Y77" i="4"/>
  <c r="Y120" i="4"/>
  <c r="Y75" i="4"/>
  <c r="Y99" i="4"/>
  <c r="Y105" i="4"/>
  <c r="Y28" i="4"/>
  <c r="Y13" i="4"/>
  <c r="Y10" i="4"/>
  <c r="Y54" i="4"/>
  <c r="Y74" i="4"/>
  <c r="Y47" i="4"/>
  <c r="Y6" i="4"/>
  <c r="Y8" i="4"/>
  <c r="Y22" i="4"/>
  <c r="Y59" i="4"/>
  <c r="Y48" i="4"/>
  <c r="Y66" i="4"/>
  <c r="Y30" i="4"/>
  <c r="Y16" i="4"/>
  <c r="Y102" i="4"/>
  <c r="Y46" i="4"/>
  <c r="Y41" i="4"/>
  <c r="Y29" i="4"/>
  <c r="Y86" i="4"/>
  <c r="Y21" i="4"/>
  <c r="Y116" i="4"/>
  <c r="Y113" i="4"/>
  <c r="Y89" i="4"/>
  <c r="Y82" i="4"/>
  <c r="Y57" i="4"/>
  <c r="Y7" i="4"/>
  <c r="Y40" i="4"/>
  <c r="Y119" i="4"/>
  <c r="Y118" i="4"/>
  <c r="Y84" i="4"/>
  <c r="Y26" i="4"/>
  <c r="Y63" i="4"/>
  <c r="Y114" i="4"/>
  <c r="Y67" i="4"/>
  <c r="Y32" i="4"/>
  <c r="Y101" i="4"/>
  <c r="Y96" i="4"/>
  <c r="Y56" i="4"/>
  <c r="Y85" i="4"/>
  <c r="Y90" i="4"/>
  <c r="Y49" i="4"/>
  <c r="Y53" i="4"/>
  <c r="Y95" i="4"/>
  <c r="Y60" i="4"/>
  <c r="Y19" i="4"/>
  <c r="Y24" i="4"/>
  <c r="Y44" i="4"/>
  <c r="Y65" i="4"/>
  <c r="Y55" i="4"/>
  <c r="Y106" i="4"/>
  <c r="Y103" i="4"/>
  <c r="Y87" i="4"/>
  <c r="Y98" i="4"/>
  <c r="Y117" i="4"/>
  <c r="Y27" i="4"/>
  <c r="Y62" i="4"/>
  <c r="Y78" i="4"/>
  <c r="Y81" i="4"/>
  <c r="Y15" i="4"/>
  <c r="Y83" i="4"/>
  <c r="Y31" i="4"/>
  <c r="Y58" i="4"/>
  <c r="Y107" i="4"/>
  <c r="Y36" i="4"/>
  <c r="Y61" i="4"/>
  <c r="Y110" i="4"/>
  <c r="Y34" i="4"/>
  <c r="Y23" i="4"/>
  <c r="Y76" i="4"/>
  <c r="Y69" i="4"/>
  <c r="Y115" i="4"/>
  <c r="Y72" i="4"/>
  <c r="Y20" i="4"/>
  <c r="Y52" i="4"/>
  <c r="Y68" i="4"/>
  <c r="Y17" i="4"/>
  <c r="Y33" i="4"/>
  <c r="Y25" i="4"/>
  <c r="Y51" i="4"/>
  <c r="Y109" i="4"/>
  <c r="Y11" i="4"/>
  <c r="Y18" i="4"/>
  <c r="Y92" i="4"/>
  <c r="Y43" i="4"/>
  <c r="Y9" i="4"/>
  <c r="Y111" i="4"/>
  <c r="Y42" i="4"/>
  <c r="Y12" i="4"/>
  <c r="Y104" i="4"/>
  <c r="X74" i="4"/>
  <c r="X51" i="4"/>
  <c r="X43" i="4"/>
  <c r="X46" i="4"/>
  <c r="X120" i="4"/>
  <c r="X71" i="4"/>
  <c r="X6" i="4"/>
  <c r="X24" i="4"/>
  <c r="X45" i="4"/>
  <c r="X91" i="4"/>
  <c r="X39" i="4"/>
  <c r="X25" i="4"/>
  <c r="X50" i="4"/>
  <c r="X31" i="4"/>
  <c r="X40" i="4"/>
  <c r="X114" i="4"/>
  <c r="X94" i="4"/>
  <c r="X21" i="4"/>
  <c r="X7" i="4"/>
  <c r="X11" i="4"/>
  <c r="X105" i="4"/>
  <c r="X69" i="4"/>
  <c r="X117" i="4"/>
  <c r="X33" i="4"/>
  <c r="X106" i="4"/>
  <c r="X79" i="4"/>
  <c r="X26" i="4"/>
  <c r="X82" i="4"/>
  <c r="X107" i="4"/>
  <c r="X116" i="4"/>
  <c r="X75" i="4"/>
  <c r="X28" i="4"/>
  <c r="X90" i="4"/>
  <c r="X9" i="4"/>
  <c r="X65" i="4"/>
  <c r="X29" i="4"/>
  <c r="X27" i="4"/>
  <c r="X20" i="4"/>
  <c r="X34" i="4"/>
  <c r="X111" i="4"/>
  <c r="X22" i="4"/>
  <c r="X78" i="4"/>
  <c r="X81" i="4"/>
  <c r="X36" i="4"/>
  <c r="X80" i="4"/>
  <c r="X101" i="4"/>
  <c r="X63" i="4"/>
  <c r="X19" i="4"/>
  <c r="X115" i="4"/>
  <c r="X18" i="4"/>
  <c r="X100" i="4"/>
  <c r="X103" i="4"/>
  <c r="X61" i="4"/>
  <c r="X86" i="4"/>
  <c r="X93" i="4"/>
  <c r="X16" i="4"/>
  <c r="X70" i="4"/>
  <c r="X47" i="4"/>
  <c r="X8" i="4"/>
  <c r="X30" i="4"/>
  <c r="X57" i="4"/>
  <c r="X41" i="4"/>
  <c r="X23" i="4"/>
  <c r="X60" i="4"/>
  <c r="X97" i="4"/>
  <c r="X89" i="4"/>
  <c r="X109" i="4"/>
  <c r="X37" i="4"/>
  <c r="X102" i="4"/>
  <c r="X55" i="4"/>
  <c r="X17" i="4"/>
  <c r="X58" i="4"/>
  <c r="X113" i="4"/>
  <c r="X62" i="4"/>
  <c r="X72" i="4"/>
  <c r="X112" i="4"/>
  <c r="X110" i="4"/>
  <c r="X53" i="4"/>
  <c r="X95" i="4"/>
  <c r="X56" i="4"/>
  <c r="X104" i="4"/>
  <c r="X13" i="4"/>
  <c r="X84" i="4"/>
  <c r="X44" i="4"/>
  <c r="X99" i="4"/>
  <c r="X98" i="4"/>
  <c r="X83" i="4"/>
  <c r="X35" i="4"/>
  <c r="X118" i="4"/>
  <c r="X48" i="4"/>
  <c r="X68" i="4"/>
  <c r="X96" i="4"/>
  <c r="X14" i="4"/>
  <c r="X108" i="4"/>
  <c r="X12" i="4"/>
  <c r="X49" i="4"/>
  <c r="X119" i="4"/>
  <c r="X67" i="4"/>
  <c r="X85" i="4"/>
  <c r="X10" i="4"/>
  <c r="X42" i="4"/>
  <c r="X64" i="4"/>
  <c r="X32" i="4"/>
  <c r="X76" i="4"/>
  <c r="X77" i="4"/>
  <c r="X87" i="4"/>
  <c r="X92" i="4"/>
  <c r="X73" i="4"/>
  <c r="X54" i="4"/>
  <c r="X52" i="4"/>
  <c r="X66" i="4"/>
  <c r="X59" i="4"/>
  <c r="X15" i="4"/>
  <c r="W121" i="6"/>
  <c r="Y121" i="6"/>
  <c r="Y87" i="6"/>
  <c r="Y46" i="6"/>
  <c r="Y69" i="6"/>
  <c r="Y19" i="6"/>
  <c r="Y117" i="6"/>
  <c r="Y61" i="6"/>
  <c r="Y101" i="6"/>
  <c r="Y89" i="6"/>
  <c r="X78" i="6"/>
  <c r="X13" i="6"/>
  <c r="X44" i="6"/>
  <c r="X49" i="6"/>
  <c r="X103" i="6"/>
  <c r="X59" i="6"/>
  <c r="X16" i="6"/>
  <c r="X86" i="6"/>
  <c r="X21" i="6"/>
  <c r="X53" i="6"/>
  <c r="X63" i="6"/>
  <c r="X18" i="6"/>
  <c r="X84" i="6"/>
  <c r="X30" i="6"/>
  <c r="X74" i="6"/>
  <c r="X36" i="6"/>
  <c r="X96" i="6"/>
  <c r="X32" i="6"/>
  <c r="X115" i="6"/>
  <c r="X105" i="6"/>
  <c r="X31" i="6"/>
  <c r="X58" i="6"/>
  <c r="X111" i="6"/>
  <c r="X57" i="6"/>
  <c r="X68" i="6"/>
  <c r="X94" i="6"/>
  <c r="X108" i="6"/>
  <c r="X95" i="6"/>
  <c r="X27" i="6"/>
  <c r="X24" i="6"/>
  <c r="X118" i="6"/>
  <c r="X37" i="6"/>
  <c r="X34" i="6"/>
  <c r="X73" i="6"/>
  <c r="X10" i="6"/>
  <c r="X75" i="6"/>
  <c r="X9" i="6"/>
  <c r="X43" i="6"/>
  <c r="X98" i="6"/>
  <c r="X120" i="6"/>
  <c r="X116" i="6"/>
  <c r="X25" i="6"/>
  <c r="X80" i="6"/>
  <c r="X40" i="6"/>
  <c r="X23" i="6"/>
  <c r="X97" i="6"/>
  <c r="X17" i="6"/>
  <c r="X62" i="6"/>
  <c r="X67" i="6"/>
  <c r="X48" i="6"/>
  <c r="X6" i="6"/>
  <c r="X70" i="6"/>
  <c r="X76" i="6"/>
  <c r="X41" i="6"/>
  <c r="X15" i="6"/>
  <c r="X42" i="6"/>
  <c r="X12" i="6"/>
  <c r="X33" i="6"/>
  <c r="X71" i="6"/>
  <c r="X101" i="6"/>
  <c r="X91" i="6"/>
  <c r="X11" i="6"/>
  <c r="X26" i="6"/>
  <c r="X77" i="6"/>
  <c r="X110" i="6"/>
  <c r="X85" i="6"/>
  <c r="X87" i="6"/>
  <c r="X109" i="6"/>
  <c r="X102" i="6"/>
  <c r="X99" i="6"/>
  <c r="X112" i="6"/>
  <c r="X39" i="6"/>
  <c r="X106" i="6"/>
  <c r="X119" i="6"/>
  <c r="X66" i="6"/>
  <c r="X35" i="6"/>
  <c r="X90" i="6"/>
  <c r="X20" i="6"/>
  <c r="X51" i="6"/>
  <c r="X50" i="6"/>
  <c r="X56" i="6"/>
  <c r="X46" i="6"/>
  <c r="X64" i="6"/>
  <c r="X54" i="6"/>
  <c r="X89" i="6"/>
  <c r="X83" i="6"/>
  <c r="X69" i="6"/>
  <c r="X60" i="6"/>
  <c r="X114" i="6"/>
  <c r="X8" i="6"/>
  <c r="X72" i="6"/>
  <c r="X14" i="6"/>
  <c r="X81" i="6"/>
  <c r="X61" i="6"/>
  <c r="X100" i="6"/>
  <c r="X47" i="6"/>
  <c r="X82" i="6"/>
  <c r="X92" i="6"/>
  <c r="X19" i="6"/>
  <c r="X28" i="6"/>
  <c r="X79" i="6"/>
  <c r="X55" i="6"/>
  <c r="X29" i="6"/>
  <c r="X117" i="6"/>
  <c r="X88" i="6"/>
  <c r="X65" i="6"/>
  <c r="X113" i="6"/>
  <c r="X104" i="6"/>
  <c r="X52" i="6"/>
  <c r="X22" i="6"/>
  <c r="X7" i="6"/>
  <c r="X93" i="6"/>
  <c r="X45" i="6"/>
  <c r="X107" i="6"/>
  <c r="W113" i="6"/>
  <c r="W49" i="6"/>
  <c r="W73" i="6"/>
  <c r="W110" i="6"/>
  <c r="W106" i="6"/>
  <c r="W59" i="6"/>
  <c r="W47" i="6"/>
  <c r="W44" i="6"/>
  <c r="W43" i="6"/>
  <c r="W45" i="6"/>
  <c r="W80" i="6"/>
  <c r="W76" i="6"/>
  <c r="W22" i="6"/>
  <c r="W23" i="6"/>
  <c r="W86" i="6"/>
  <c r="W105" i="6"/>
  <c r="W20" i="6"/>
  <c r="W55" i="6"/>
  <c r="W51" i="6"/>
  <c r="W107" i="6"/>
  <c r="W102" i="6"/>
  <c r="W9" i="6"/>
  <c r="W71" i="6"/>
  <c r="W65" i="6"/>
  <c r="W53" i="6"/>
  <c r="W64" i="6"/>
  <c r="W98" i="6"/>
  <c r="W30" i="6"/>
  <c r="W27" i="6"/>
  <c r="W69" i="6"/>
  <c r="W62" i="6"/>
  <c r="W91" i="6"/>
  <c r="W42" i="6"/>
  <c r="W79" i="6"/>
  <c r="W61" i="6"/>
  <c r="W78" i="6"/>
  <c r="W84" i="6"/>
  <c r="W40" i="6"/>
  <c r="W72" i="6"/>
  <c r="W67" i="6"/>
  <c r="W101" i="6"/>
  <c r="W100" i="6"/>
  <c r="W112" i="6"/>
  <c r="W56" i="6"/>
  <c r="W57" i="6"/>
  <c r="W17" i="6"/>
  <c r="W81" i="6"/>
  <c r="W93" i="6"/>
  <c r="W87" i="6"/>
  <c r="W60" i="6"/>
  <c r="W82" i="6"/>
  <c r="W10" i="6"/>
  <c r="W89" i="6"/>
  <c r="W103" i="6"/>
  <c r="W58" i="6"/>
  <c r="W75" i="6"/>
  <c r="W26" i="6"/>
  <c r="W85" i="6"/>
  <c r="W96" i="6"/>
  <c r="W74" i="6"/>
  <c r="W68" i="6"/>
  <c r="W19" i="6"/>
  <c r="W36" i="6"/>
  <c r="W35" i="6"/>
  <c r="W116" i="6"/>
  <c r="W77" i="6"/>
  <c r="W50" i="6"/>
  <c r="W90" i="6"/>
  <c r="W94" i="6"/>
  <c r="W28" i="6"/>
  <c r="W29" i="6"/>
  <c r="W54" i="6"/>
  <c r="W39" i="6"/>
  <c r="W120" i="6"/>
  <c r="W41" i="6"/>
  <c r="W33" i="6"/>
  <c r="W104" i="6"/>
  <c r="W16" i="6"/>
  <c r="W108" i="6"/>
  <c r="W34" i="6"/>
  <c r="W117" i="6"/>
  <c r="W83" i="6"/>
  <c r="W88" i="6"/>
  <c r="W8" i="6"/>
  <c r="W114" i="6"/>
  <c r="W11" i="6"/>
  <c r="W92" i="6"/>
  <c r="W63" i="6"/>
  <c r="W14" i="6"/>
  <c r="W111" i="6"/>
  <c r="W31" i="6"/>
  <c r="W12" i="6"/>
  <c r="W109" i="6"/>
  <c r="W70" i="6"/>
  <c r="W15" i="6"/>
  <c r="W48" i="6"/>
  <c r="W37" i="6"/>
  <c r="W97" i="6"/>
  <c r="W6" i="6"/>
  <c r="W99" i="6"/>
  <c r="W119" i="6"/>
  <c r="W118" i="6"/>
  <c r="W66" i="6"/>
  <c r="W32" i="6"/>
  <c r="W7" i="6"/>
  <c r="W52" i="6"/>
  <c r="W115" i="6"/>
  <c r="W13" i="6"/>
  <c r="W25" i="6"/>
  <c r="W21" i="6"/>
  <c r="W46" i="6"/>
  <c r="W95" i="6"/>
  <c r="W18" i="6"/>
  <c r="W24" i="6"/>
  <c r="Y13" i="6"/>
  <c r="Y95" i="6"/>
  <c r="Y102" i="6"/>
  <c r="Y120" i="6"/>
  <c r="Y111" i="6"/>
  <c r="Y31" i="6"/>
  <c r="Y99" i="6"/>
  <c r="Y79" i="6"/>
  <c r="Y108" i="6"/>
  <c r="Y107" i="6"/>
  <c r="Y43" i="6"/>
  <c r="Y26" i="6"/>
  <c r="Y24" i="6"/>
  <c r="Y113" i="6"/>
  <c r="Y100" i="6"/>
  <c r="Y44" i="6"/>
  <c r="Y81" i="6"/>
  <c r="Y109" i="6"/>
  <c r="Y97" i="6"/>
  <c r="Y82" i="6"/>
  <c r="Y68" i="6"/>
  <c r="Y98" i="6"/>
  <c r="Y37" i="6"/>
  <c r="Y30" i="6"/>
  <c r="Y49" i="6"/>
  <c r="Y65" i="6"/>
  <c r="Y35" i="6"/>
  <c r="Y70" i="6"/>
  <c r="Y20" i="6"/>
  <c r="Y75" i="6"/>
  <c r="Y72" i="6"/>
  <c r="Y39" i="6"/>
  <c r="Y53" i="6"/>
  <c r="Y94" i="6"/>
  <c r="Y105" i="6"/>
  <c r="Y16" i="6"/>
  <c r="Y56" i="6"/>
  <c r="Y33" i="6"/>
  <c r="Y73" i="6"/>
  <c r="Y27" i="6"/>
  <c r="Y77" i="6"/>
  <c r="Y42" i="6"/>
  <c r="Y45" i="6"/>
  <c r="Y92" i="6"/>
  <c r="Y88" i="6"/>
  <c r="Y50" i="6"/>
  <c r="Y21" i="6"/>
  <c r="Y32" i="6"/>
  <c r="Y74" i="6"/>
  <c r="Y22" i="6"/>
  <c r="Y64" i="6"/>
  <c r="Y86" i="6"/>
  <c r="Y104" i="6"/>
  <c r="Y66" i="6"/>
  <c r="Y110" i="6"/>
  <c r="Y103" i="6"/>
  <c r="Y29" i="6"/>
  <c r="Y6" i="6"/>
  <c r="Y41" i="6"/>
  <c r="Y8" i="6"/>
  <c r="Y83" i="6"/>
  <c r="Y71" i="6"/>
  <c r="Y114" i="6"/>
  <c r="Y80" i="6"/>
  <c r="Y51" i="6"/>
  <c r="Y55" i="6"/>
  <c r="Y62" i="6"/>
  <c r="Y15" i="6"/>
  <c r="Y54" i="6"/>
  <c r="Y67" i="6"/>
  <c r="Y40" i="6"/>
  <c r="Y93" i="6"/>
  <c r="Y28" i="6"/>
  <c r="Y78" i="6"/>
  <c r="Y60" i="6"/>
  <c r="Y63" i="6"/>
  <c r="Y57" i="6"/>
  <c r="Y58" i="6"/>
  <c r="Y76" i="6"/>
  <c r="Y84" i="6"/>
  <c r="Y12" i="6"/>
  <c r="Y91" i="6"/>
  <c r="Y112" i="6"/>
  <c r="Y115" i="6"/>
  <c r="Y10" i="6"/>
  <c r="Y18" i="6"/>
  <c r="Y59" i="6"/>
  <c r="Y23" i="6"/>
  <c r="Y14" i="6"/>
  <c r="Y25" i="6"/>
  <c r="Y52" i="6"/>
  <c r="Y48" i="6"/>
  <c r="Y90" i="6"/>
  <c r="Y85" i="6"/>
  <c r="Y106" i="6"/>
  <c r="Y9" i="6"/>
  <c r="Y11" i="6"/>
  <c r="Y47" i="6"/>
  <c r="Y17" i="6"/>
  <c r="Y119" i="6"/>
  <c r="Y36" i="6"/>
  <c r="Y116" i="6"/>
  <c r="Y96" i="6"/>
  <c r="Y118" i="6"/>
  <c r="Y34" i="6"/>
  <c r="Y7" i="6"/>
</calcChain>
</file>

<file path=xl/comments1.xml><?xml version="1.0" encoding="utf-8"?>
<comments xmlns="http://schemas.openxmlformats.org/spreadsheetml/2006/main">
  <authors>
    <author>craig</author>
  </authors>
  <commentList>
    <comment ref="D84" authorId="0" shapeId="0">
      <text>
        <r>
          <rPr>
            <sz val="9"/>
            <color indexed="81"/>
            <rFont val="Tahoma"/>
            <family val="2"/>
          </rPr>
          <t>A custom SiPM size will be needed, most likely due to the need to keep the dark-noise rate, which scales are SiPM active area, within specifications.</t>
        </r>
      </text>
    </comment>
    <comment ref="D85" authorId="0" shapeId="0">
      <text>
        <r>
          <rPr>
            <sz val="9"/>
            <color indexed="81"/>
            <rFont val="Tahoma"/>
            <family val="2"/>
          </rPr>
          <t>The photoelectron yield is less than expected. This would require a larger diameter fiber (and larger associated SiPM only in the case that a custom SiPM size is required).</t>
        </r>
      </text>
    </comment>
    <comment ref="D86" authorId="0" shapeId="0">
      <text>
        <r>
          <rPr>
            <sz val="9"/>
            <color indexed="81"/>
            <rFont val="Tahoma"/>
            <family val="2"/>
          </rPr>
          <t xml:space="preserve"> If space can be found to fabricate the modules at on-campus facilities at UVA, this eliminates the need to rent space for the module fabrication factory. The search for suitable sites is being actively pursued by UVA collaborators.</t>
        </r>
      </text>
    </comment>
    <comment ref="D87" authorId="0" shapeId="0">
      <text>
        <r>
          <rPr>
            <sz val="9"/>
            <color indexed="81"/>
            <rFont val="Tahoma"/>
            <family val="2"/>
          </rPr>
          <t xml:space="preserve">The photoelectron yield is greater than expected due to the availability of SiPMs with higher PDEs. This would allow a smaller diameter fiber and perhaps a smaller SiPM to be used.
</t>
        </r>
      </text>
    </comment>
    <comment ref="D88" authorId="0" shapeId="0">
      <text>
        <r>
          <rPr>
            <sz val="9"/>
            <color indexed="81"/>
            <rFont val="Tahoma"/>
            <family val="2"/>
          </rPr>
          <t>The gaps between counters are too large to allow the efficiency requirement to be met. The easiest way to mitigate this would be to fabricate wider counters, 6 cm to 7 cm, which allow wider gaps without adversely affecting the efficiency requirement. This would require minor redesigns to various components of the CRV, including items such as counter motherboards, modules, and the support structure. The increased cost would be offset by the smaller number of fibers, SiPMs, and front-end boards.</t>
        </r>
      </text>
    </comment>
    <comment ref="D89" authorId="0" shapeId="0">
      <text>
        <r>
          <rPr>
            <sz val="9"/>
            <color indexed="81"/>
            <rFont val="Tahoma"/>
            <family val="2"/>
          </rPr>
          <t xml:space="preserve">More coverage will be needed with CRV-D. A very recent simulation targeting cosmic-ray muons entering in the downstream sector show that three events over the course of the entire running period enter just below the module coverage. All are vetoed by the calorimeter. Simulating with more statistics may show that some events are not vetoed by the calorimeter or CRV, and hence more coverage is needed. </t>
        </r>
      </text>
    </comment>
  </commentList>
</comments>
</file>

<file path=xl/comments2.xml><?xml version="1.0" encoding="utf-8"?>
<comments xmlns="http://schemas.openxmlformats.org/spreadsheetml/2006/main">
  <authors>
    <author>craig</author>
  </authors>
  <commentList>
    <comment ref="D84" authorId="0" shapeId="0">
      <text>
        <r>
          <rPr>
            <sz val="9"/>
            <color indexed="81"/>
            <rFont val="Tahoma"/>
            <family val="2"/>
          </rPr>
          <t>A custom SiPM size will be needed, most likely due to the need to keep the dark-noise rate, which scales are SiPM active area, within specifications.</t>
        </r>
      </text>
    </comment>
    <comment ref="D85" authorId="0" shapeId="0">
      <text>
        <r>
          <rPr>
            <sz val="9"/>
            <color indexed="81"/>
            <rFont val="Tahoma"/>
            <family val="2"/>
          </rPr>
          <t>The photoelectron yield is less than expected. This would require a larger diameter fiber (and larger associated SiPM only in the case that a custom SiPM size is required).</t>
        </r>
      </text>
    </comment>
    <comment ref="D86" authorId="0" shapeId="0">
      <text>
        <r>
          <rPr>
            <sz val="9"/>
            <color indexed="81"/>
            <rFont val="Tahoma"/>
            <family val="2"/>
          </rPr>
          <t xml:space="preserve"> If space can be found to fabricate the modules at on-campus facilities at UVA, this eliminates the need to rent space for the module fabrication factory. The search for suitable sites is being actively pursued by UVA collaborators.</t>
        </r>
      </text>
    </comment>
    <comment ref="D87" authorId="0" shapeId="0">
      <text>
        <r>
          <rPr>
            <sz val="9"/>
            <color indexed="81"/>
            <rFont val="Tahoma"/>
            <family val="2"/>
          </rPr>
          <t xml:space="preserve">The photoelectron yield is greater than expected due to the availability of SiPMs with higher PDEs. This would allow a smaller diameter fiber and perhaps a smaller SiPM to be used.
</t>
        </r>
      </text>
    </comment>
    <comment ref="D88" authorId="0" shapeId="0">
      <text>
        <r>
          <rPr>
            <sz val="9"/>
            <color indexed="81"/>
            <rFont val="Tahoma"/>
            <family val="2"/>
          </rPr>
          <t>The gaps between counters are too large to allow the efficiency requirement to be met. The easiest way to mitigate this would be to fabricate wider counters, 6 cm to 7 cm, which allow wider gaps without adversely affecting the efficiency requirement. This would require minor redesigns to various components of the CRV, including items such as counter motherboards, modules, and the support structure. The increased cost would be offset by the smaller number of fibers, SiPMs, and front-end boards.</t>
        </r>
      </text>
    </comment>
    <comment ref="D89" authorId="0" shapeId="0">
      <text>
        <r>
          <rPr>
            <sz val="9"/>
            <color indexed="81"/>
            <rFont val="Tahoma"/>
            <family val="2"/>
          </rPr>
          <t xml:space="preserve">More coverage will be needed with CRV-D. A very recent simulation targeting cosmic-ray muons entering in the downstream sector show that three events over the course of the entire running period enter just below the module coverage. All are vetoed by the calorimeter. Simulating with more statistics may show that some events are not vetoed by the calorimeter or CRV, and hence more coverage is needed. </t>
        </r>
      </text>
    </comment>
  </commentList>
</comments>
</file>

<file path=xl/comments3.xml><?xml version="1.0" encoding="utf-8"?>
<comments xmlns="http://schemas.openxmlformats.org/spreadsheetml/2006/main">
  <authors>
    <author>craig</author>
  </authors>
  <commentList>
    <comment ref="D26" authorId="0" shapeId="0">
      <text>
        <r>
          <rPr>
            <sz val="9"/>
            <color indexed="81"/>
            <rFont val="Tahoma"/>
            <family val="2"/>
          </rPr>
          <t>The photoelectron yield is less than expected. This would require a larger diameter fiber (and larger associated SiPM only in the case that a custom SiPM size is required).</t>
        </r>
      </text>
    </comment>
    <comment ref="D27" authorId="0" shapeId="0">
      <text>
        <r>
          <rPr>
            <sz val="9"/>
            <color indexed="81"/>
            <rFont val="Tahoma"/>
            <family val="2"/>
          </rPr>
          <t xml:space="preserve">The photoelectron yield is greater than expected due to the availability of SiPMs with higher PDEs. This would allow a smaller diameter fiber and perhaps a smaller SiPM to be used.
</t>
        </r>
      </text>
    </comment>
    <comment ref="D28" authorId="0" shapeId="0">
      <text>
        <r>
          <rPr>
            <sz val="9"/>
            <color indexed="81"/>
            <rFont val="Tahoma"/>
            <family val="2"/>
          </rPr>
          <t>The gaps between counters are too large to allow the efficiency requirement to be met. The easiest way to mitigate this would be to fabricate wider counters, 6 cm to 7 cm, which allow wider gaps without adversely affecting the efficiency requirement. This would require minor redesigns to various components of the CRV, including items such as counter motherboards, modules, and the support structure. The increased cost would be offset by the smaller number of fibers, SiPMs, and front-end boards.</t>
        </r>
      </text>
    </comment>
  </commentList>
</comments>
</file>

<file path=xl/sharedStrings.xml><?xml version="1.0" encoding="utf-8"?>
<sst xmlns="http://schemas.openxmlformats.org/spreadsheetml/2006/main" count="5416" uniqueCount="658">
  <si>
    <t>ACCEL-012</t>
  </si>
  <si>
    <t>Mu2e beam comissioning delayed.</t>
  </si>
  <si>
    <t>S. Werkema</t>
  </si>
  <si>
    <t>TRIG-128</t>
  </si>
  <si>
    <t>Insufficient manpower for DAQ software.</t>
  </si>
  <si>
    <t>M. Bowden</t>
  </si>
  <si>
    <t>TRACK-139</t>
  </si>
  <si>
    <t>Mylar creep limits tracker lifetime</t>
  </si>
  <si>
    <t>A. Mukherjee</t>
  </si>
  <si>
    <t>TRACK-092</t>
  </si>
  <si>
    <t>No manufacturer able to produce straws to desired tolerances</t>
  </si>
  <si>
    <r>
      <t>FY1</t>
    </r>
    <r>
      <rPr>
        <sz val="11"/>
        <rFont val="Calibri"/>
        <family val="2"/>
      </rPr>
      <t>7</t>
    </r>
    <r>
      <rPr>
        <sz val="11"/>
        <rFont val="Calibri"/>
        <family val="2"/>
        <scheme val="minor"/>
      </rPr>
      <t>-FY19</t>
    </r>
    <phoneticPr fontId="4" type="noConversion"/>
  </si>
  <si>
    <t>S. Werkema</t>
    <phoneticPr fontId="4" type="noConversion"/>
  </si>
  <si>
    <r>
      <t>FY15-FY1</t>
    </r>
    <r>
      <rPr>
        <sz val="11"/>
        <rFont val="Calibri"/>
        <family val="2"/>
      </rPr>
      <t>6</t>
    </r>
    <phoneticPr fontId="4" type="noConversion"/>
  </si>
  <si>
    <r>
      <t>FY19</t>
    </r>
    <r>
      <rPr>
        <sz val="11"/>
        <rFont val="Calibri"/>
        <family val="2"/>
      </rPr>
      <t>-FY20</t>
    </r>
    <r>
      <rPr>
        <sz val="11"/>
        <rFont val="Calibri"/>
        <family val="2"/>
        <scheme val="minor"/>
      </rPr>
      <t xml:space="preserve"> </t>
    </r>
    <phoneticPr fontId="4" type="noConversion"/>
  </si>
  <si>
    <r>
      <t>FY16-FY1</t>
    </r>
    <r>
      <rPr>
        <sz val="11"/>
        <rFont val="Calibri"/>
        <family val="2"/>
      </rPr>
      <t>9</t>
    </r>
    <phoneticPr fontId="4" type="noConversion"/>
  </si>
  <si>
    <r>
      <t>FY1</t>
    </r>
    <r>
      <rPr>
        <sz val="11"/>
        <rFont val="Calibri"/>
        <family val="2"/>
      </rPr>
      <t>9-20</t>
    </r>
    <phoneticPr fontId="4" type="noConversion"/>
  </si>
  <si>
    <t>M. Lamm</t>
    <phoneticPr fontId="4" type="noConversion"/>
  </si>
  <si>
    <r>
      <t>FY15</t>
    </r>
    <r>
      <rPr>
        <sz val="11"/>
        <rFont val="Calibri"/>
        <family val="2"/>
      </rPr>
      <t>-FY16</t>
    </r>
    <phoneticPr fontId="4" type="noConversion"/>
  </si>
  <si>
    <t>Mechanical design of the heat and radiation shield inadequate to sustain loads generated during Production and Transport Solenoid quenches.</t>
  </si>
  <si>
    <t>R. Coleman, M. Lamm</t>
  </si>
  <si>
    <t>MUON-086</t>
  </si>
  <si>
    <t>PS vacuum window failure.</t>
  </si>
  <si>
    <t>CONST-048</t>
  </si>
  <si>
    <t>Significant injury or death associated with civil construction.</t>
  </si>
  <si>
    <t>TRIG-134</t>
  </si>
  <si>
    <t>Risk</t>
  </si>
  <si>
    <t>ID</t>
  </si>
  <si>
    <t>Title</t>
  </si>
  <si>
    <t>Owner</t>
  </si>
  <si>
    <t>Probability</t>
  </si>
  <si>
    <t>Cost</t>
  </si>
  <si>
    <t>NOTES:</t>
  </si>
  <si>
    <t>M</t>
  </si>
  <si>
    <t>H</t>
  </si>
  <si>
    <t>N</t>
  </si>
  <si>
    <t>L</t>
  </si>
  <si>
    <t>PM-009</t>
  </si>
  <si>
    <t>PM-004</t>
  </si>
  <si>
    <t>PM-005</t>
  </si>
  <si>
    <t>PM-007</t>
  </si>
  <si>
    <t>Point estimate (cost k$)</t>
  </si>
  <si>
    <t>Point Estimate (sched-days)</t>
  </si>
  <si>
    <t>Point estimate (prob)</t>
  </si>
  <si>
    <t>Prob Range</t>
  </si>
  <si>
    <t>Prob RMS</t>
  </si>
  <si>
    <t>90% CL</t>
  </si>
  <si>
    <t>95%CL</t>
  </si>
  <si>
    <t>Risk Contingency</t>
  </si>
  <si>
    <t>Include Opportunities?</t>
  </si>
  <si>
    <t>EXPECTATION VALUE IN k$</t>
  </si>
  <si>
    <t>EXPECTATION VALUE IN Days</t>
  </si>
  <si>
    <t>y</t>
  </si>
  <si>
    <t>85% CL</t>
  </si>
  <si>
    <t>Post-mitigation</t>
  </si>
  <si>
    <t>Details</t>
  </si>
  <si>
    <t>Type</t>
  </si>
  <si>
    <t>Schedule-Delays Level 3 Milestone or Project Critical Path by X Days</t>
  </si>
  <si>
    <t>Technical</t>
  </si>
  <si>
    <t>Score</t>
  </si>
  <si>
    <t>ACCEL-035</t>
  </si>
  <si>
    <t>Threat</t>
  </si>
  <si>
    <t>Failure of extinction system to sufficiently eliminate out of time beam</t>
  </si>
  <si>
    <t>Transfer to operations</t>
  </si>
  <si>
    <t>VH</t>
  </si>
  <si>
    <t>E. Prebys</t>
  </si>
  <si>
    <t>ACCEL-029</t>
  </si>
  <si>
    <t>Need to build 6 CDA-like magnets from scratch</t>
  </si>
  <si>
    <t>J.Annala</t>
  </si>
  <si>
    <t>SOL-070</t>
  </si>
  <si>
    <t>Interface problems with the solenoids.</t>
  </si>
  <si>
    <t>M. Lamm</t>
  </si>
  <si>
    <t>PM-010</t>
  </si>
  <si>
    <t>Unexpected increase in Fermilab overhead rates</t>
  </si>
  <si>
    <t>Ron Ray</t>
  </si>
  <si>
    <t>VETO-114</t>
  </si>
  <si>
    <t>C. Dukes</t>
  </si>
  <si>
    <t>ACCEL-026</t>
  </si>
  <si>
    <t>Cannot adequately maintain proton beam position and angle on production target.</t>
  </si>
  <si>
    <t>C. Johnstone</t>
  </si>
  <si>
    <t>ACCEL-022</t>
  </si>
  <si>
    <t>Large beam loss from Resonant Extraction.</t>
  </si>
  <si>
    <t>v. Nagaslaev</t>
  </si>
  <si>
    <t>ACCEL-015</t>
  </si>
  <si>
    <t>Injection damper required for Delivery Ring</t>
  </si>
  <si>
    <t>J. Morgan</t>
  </si>
  <si>
    <t>SOL-066</t>
  </si>
  <si>
    <t>Critical path delayed due to solenoid schedule delay.</t>
  </si>
  <si>
    <t>SOL-072</t>
  </si>
  <si>
    <t>Tevatron HTS leads do not perform to Mu2e specifications.</t>
  </si>
  <si>
    <t>ACCEL-020</t>
  </si>
  <si>
    <t>Cannot use TLMs to control beam losses.</t>
  </si>
  <si>
    <t>T. Leveling</t>
  </si>
  <si>
    <t>S. Miscetti</t>
  </si>
  <si>
    <t>ACCEL-017</t>
  </si>
  <si>
    <t>Radiation levels outside of Mu2e facility too high.</t>
  </si>
  <si>
    <t>ACCEL-011</t>
  </si>
  <si>
    <t>Inadequate AD Engineering Resources</t>
  </si>
  <si>
    <t>Thermal Siphon approach to cooling in PS does not work properly</t>
  </si>
  <si>
    <t>TRACK-093</t>
  </si>
  <si>
    <t>Straw leak rate too high.</t>
  </si>
  <si>
    <t>A. Mukherjee, G. Ginther</t>
  </si>
  <si>
    <t>ACCEL-037</t>
  </si>
  <si>
    <t>Extinction monitor fails to perform to requirements.</t>
  </si>
  <si>
    <t>P. Kasper</t>
  </si>
  <si>
    <t>VETO-119</t>
  </si>
  <si>
    <t>ACCEL-034</t>
  </si>
  <si>
    <t>Unable to perform the orbit and optics control with proposed reduced number of position monitors</t>
  </si>
  <si>
    <t>SOL-080</t>
  </si>
  <si>
    <t>Insufficient testing of DS and/or PS at Vendor</t>
  </si>
  <si>
    <t>VETO-118</t>
  </si>
  <si>
    <t>TRACK-091</t>
  </si>
  <si>
    <t>D.Brown</t>
  </si>
  <si>
    <t>G. Ginther</t>
  </si>
  <si>
    <t>TRACK-102</t>
  </si>
  <si>
    <t>Failure in a single straw tube prevents operating a large region of the tracker</t>
  </si>
  <si>
    <t>Move to Operations</t>
  </si>
  <si>
    <t>CAL-108</t>
  </si>
  <si>
    <t>TRACK-104</t>
  </si>
  <si>
    <t>Gain loss in tracker.</t>
  </si>
  <si>
    <t>ACCEL-021</t>
  </si>
  <si>
    <t>Opportunity</t>
  </si>
  <si>
    <t>Availability of the shielding steel blocks on site</t>
  </si>
  <si>
    <t>ACCEL-014</t>
  </si>
  <si>
    <t>Radiation damage to fiber optics communication lines</t>
  </si>
  <si>
    <t>C. Johnstone, B. Drendel</t>
  </si>
  <si>
    <t>ACCEL-036</t>
  </si>
  <si>
    <t>No need in internal extinction collimation</t>
  </si>
  <si>
    <t>CONST-049</t>
  </si>
  <si>
    <t>Conventionl construction bids are lower than estimated cost.</t>
  </si>
  <si>
    <t>T. Lackowski</t>
  </si>
  <si>
    <t>MUON-138</t>
  </si>
  <si>
    <t>Detector installation takes longer than expected.</t>
  </si>
  <si>
    <t>SOL-078</t>
  </si>
  <si>
    <t>Minimal approach to TS mapping proves to be inadequate with poor transmission of muon beam to stopping target.</t>
  </si>
  <si>
    <t>SOL-074</t>
  </si>
  <si>
    <t>Field mapping unit does not perform to specification</t>
  </si>
  <si>
    <t>TRACK-095</t>
  </si>
  <si>
    <t>Change in cost of straw material</t>
  </si>
  <si>
    <t>MUON-084</t>
  </si>
  <si>
    <t>Vacuum leak.</t>
  </si>
  <si>
    <t>J. Brandt</t>
  </si>
  <si>
    <t>MUON-085</t>
  </si>
  <si>
    <t>MUON-083</t>
  </si>
  <si>
    <t>Significantly larger gas loads in warm bore of DS than anticipated.</t>
  </si>
  <si>
    <t>CONST-065</t>
  </si>
  <si>
    <t>Feeder 24 from MSS to F3 not adequate</t>
  </si>
  <si>
    <t>Move to Muon Campus Scope</t>
  </si>
  <si>
    <t>PM-002</t>
  </si>
  <si>
    <t>DOE advances project funding profile, providing money sooner than anticipated.</t>
  </si>
  <si>
    <t>MUON-088</t>
  </si>
  <si>
    <t>Background from neutrons higher than anticipated inside detector Solenoid.</t>
  </si>
  <si>
    <t>R. Bossert</t>
  </si>
  <si>
    <t>TRACK-097</t>
  </si>
  <si>
    <t>Catastrophic mechanical failure of Tracker.</t>
  </si>
  <si>
    <t>VL</t>
  </si>
  <si>
    <t>ACCEL-042</t>
  </si>
  <si>
    <t>Inability to locate and reuse all the necessary tooling and infrastracture hardware for the ES septum fabrication</t>
  </si>
  <si>
    <t>TRACK-107</t>
  </si>
  <si>
    <t>Catastrophic Tracker high voltage failure</t>
  </si>
  <si>
    <t>Project is not granted a Categorical Exclusion and has to write an Environmental Assessment (EA)</t>
  </si>
  <si>
    <t>Lower cost commercial PCIe card for DTC.</t>
  </si>
  <si>
    <t>CAL-113</t>
  </si>
  <si>
    <t>Radiation damage to calorimeter photosensors</t>
  </si>
  <si>
    <t>Fewer Resources than anticipated required in Project Office to manage Project.</t>
  </si>
  <si>
    <t>ACCEL-038</t>
  </si>
  <si>
    <t>Radiated target will not survive in the Beam.</t>
  </si>
  <si>
    <t>R. Coleman</t>
  </si>
  <si>
    <t>TRACK-106</t>
  </si>
  <si>
    <t>High rate variations are seen by the tracker from pulse-to-pulse.</t>
  </si>
  <si>
    <t>SOL-137</t>
  </si>
  <si>
    <t>Solenoid fringe field impacts performance of nearby equipment</t>
  </si>
  <si>
    <t>K. Krempetz</t>
  </si>
  <si>
    <t>MUON-090</t>
  </si>
  <si>
    <t>Detector components move after installation.</t>
  </si>
  <si>
    <t>TRACK-099</t>
  </si>
  <si>
    <t>Tracker readout can be fully implemented in commercial off-the-shelf parts.</t>
  </si>
  <si>
    <t>Y. Kolomensky</t>
  </si>
  <si>
    <t>VETO-122</t>
  </si>
  <si>
    <t>Need to use inferior fibers</t>
  </si>
  <si>
    <t>ACCEL-140</t>
  </si>
  <si>
    <t>Proton beam not available for beam studies in FY2013</t>
  </si>
  <si>
    <t>PM-008</t>
  </si>
  <si>
    <t>Additional resources required in Project Office to manage Project.</t>
  </si>
  <si>
    <t>TRIG-136</t>
  </si>
  <si>
    <t>Efficient Calorimeter Trigger reduces online processing requirements.</t>
  </si>
  <si>
    <t>CD-4 float inadequate.</t>
  </si>
  <si>
    <t>CAL-111</t>
  </si>
  <si>
    <t>Pileup in the calorimeter</t>
  </si>
  <si>
    <t>CONST-050</t>
  </si>
  <si>
    <t>Conventionl construction bids exceed estimated cost.</t>
  </si>
  <si>
    <t>TRIG-130</t>
  </si>
  <si>
    <t>Insufficient DAQ online processing.</t>
  </si>
  <si>
    <t>TRIG-132</t>
  </si>
  <si>
    <t>Use of surplus equipment.</t>
  </si>
  <si>
    <t>TRACK-096</t>
  </si>
  <si>
    <t>Detector support structure not sufficiently rigid or stable</t>
  </si>
  <si>
    <t>TRIG-131</t>
  </si>
  <si>
    <t>Higher than expected data rates to the DAQ.</t>
  </si>
  <si>
    <t>TRACK-098</t>
  </si>
  <si>
    <t>2nd prototype ASIC run not needed</t>
  </si>
  <si>
    <t>PM-001</t>
  </si>
  <si>
    <t>Project funds not available at the beginning of fiscal year.</t>
  </si>
  <si>
    <t>VETO-127</t>
  </si>
  <si>
    <t>Less cosmic ray veto coverage is needed</t>
  </si>
  <si>
    <t>CONST-054</t>
  </si>
  <si>
    <t>Conventional Systems performance does not meet criteria</t>
  </si>
  <si>
    <t>SOL-067</t>
  </si>
  <si>
    <t>Too Few bidders on DS/PS design and construction.</t>
  </si>
  <si>
    <t>SOL-077</t>
  </si>
  <si>
    <t>Damage to surrounding elements during installation</t>
  </si>
  <si>
    <t>FY20-21</t>
  </si>
  <si>
    <t>50K</t>
  </si>
  <si>
    <t>30k</t>
  </si>
  <si>
    <t>G. Ginther/K. Krempetz</t>
  </si>
  <si>
    <t>J. Miller</t>
  </si>
  <si>
    <t>Rates exceed Muon Stopping Target Monitor capabilities</t>
  </si>
  <si>
    <t>Assembly room at Virginia is inadequate for CRV module construction.</t>
  </si>
  <si>
    <t>C. Group</t>
  </si>
  <si>
    <t>ACCEL-030</t>
  </si>
  <si>
    <t>Reduced cost of 6-3-120 magnets preparation</t>
  </si>
  <si>
    <t>ACCEL-041</t>
  </si>
  <si>
    <t>Heat and radiation shield insufficient to protect the Production Solenoid</t>
  </si>
  <si>
    <t>ACCEL-032</t>
  </si>
  <si>
    <t>Reduced cost of Large aperture quads</t>
  </si>
  <si>
    <t>CONST-047</t>
  </si>
  <si>
    <t>Errors &amp; omissions In design of conventional facilities by A&amp;E firm.</t>
  </si>
  <si>
    <t>ACCEL-016</t>
  </si>
  <si>
    <t>Delivery Ring tunes cannot be measured to the required accuracy.</t>
  </si>
  <si>
    <t>B. Drendel</t>
  </si>
  <si>
    <t>CONST-064</t>
  </si>
  <si>
    <t>Severe Weather impacts civil construction.</t>
  </si>
  <si>
    <t>TRIG-135</t>
  </si>
  <si>
    <t>Slow Controls development in common with other experiments.</t>
  </si>
  <si>
    <t>VETO-117</t>
  </si>
  <si>
    <t>Additional coverage is needed for Cosmic Ray Veto</t>
  </si>
  <si>
    <t>ACCEL-028</t>
  </si>
  <si>
    <t>Assumed refurbishment of SQ magnets not required.</t>
  </si>
  <si>
    <t>TRACK-100</t>
  </si>
  <si>
    <t>Localized tracker electronics failure</t>
  </si>
  <si>
    <t>TRACK-103</t>
  </si>
  <si>
    <t>Widespread tracker electronics failure</t>
  </si>
  <si>
    <t>TRACK-101</t>
  </si>
  <si>
    <t>Excessive heat load from inaccessible  tracker electronics inside DS vacuum.</t>
  </si>
  <si>
    <t>CONST-058</t>
  </si>
  <si>
    <t>Unforeseen/undocumented subsurface conditions discovered during excavation for conventional construction.</t>
  </si>
  <si>
    <t>ACCEL-033</t>
  </si>
  <si>
    <t>Inability to stage magnets in the Accumulator enclosure during g-2 operation</t>
  </si>
  <si>
    <t>CONST-051</t>
  </si>
  <si>
    <t>Civil contractor cannot complete work satisfactorily or defaults on contract.</t>
  </si>
  <si>
    <t>TRACK-094</t>
  </si>
  <si>
    <t>VETO-120</t>
  </si>
  <si>
    <t>RETIRE-Cosmic ray test stand needs to be fabricated</t>
  </si>
  <si>
    <t>Retired</t>
  </si>
  <si>
    <t>ACCEL-043</t>
  </si>
  <si>
    <t>Production solenoid quenching.</t>
  </si>
  <si>
    <t>ACCEL-025</t>
  </si>
  <si>
    <t>Capability to ramp Delivery Ring sextupoles required.</t>
  </si>
  <si>
    <t>V. Nagaslaev</t>
  </si>
  <si>
    <t>VETO-121</t>
  </si>
  <si>
    <t>RETIRE-Existing flycutter cannot be obtained</t>
  </si>
  <si>
    <t>TRACK-105</t>
  </si>
  <si>
    <t>Tracker breakdown due to detector aging</t>
  </si>
  <si>
    <t>ACCEL-024</t>
  </si>
  <si>
    <t>Retire- Cannot use TLMs to control beam losses.</t>
  </si>
  <si>
    <t>VETO-158</t>
  </si>
  <si>
    <t>VETO-159</t>
  </si>
  <si>
    <t>VETO-160</t>
  </si>
  <si>
    <t>VETO-161</t>
  </si>
  <si>
    <t>VETO-162</t>
  </si>
  <si>
    <t>VETO-163</t>
  </si>
  <si>
    <t>VETO-164</t>
  </si>
  <si>
    <t>PM-048</t>
  </si>
  <si>
    <t>CONST-059</t>
  </si>
  <si>
    <t>Disruptions To  Fermilab utilities, facilities or operations</t>
  </si>
  <si>
    <t>MUON-089</t>
  </si>
  <si>
    <t>RETIRED- Distortion of DS magnetic field.</t>
  </si>
  <si>
    <t>VETO-115</t>
  </si>
  <si>
    <t>RETIRE-Cosmic ray background estimation incomplete by CD2.</t>
  </si>
  <si>
    <t>PM-003</t>
  </si>
  <si>
    <t>CD-3a funds not available as assumed.</t>
  </si>
  <si>
    <t>ACCEL-031</t>
  </si>
  <si>
    <t>Need to build 10 Q18 magnets</t>
  </si>
  <si>
    <t>CONST-063</t>
  </si>
  <si>
    <t>Storm Water Pollution</t>
  </si>
  <si>
    <t>ACCEL-027</t>
  </si>
  <si>
    <t>Inability to clear Delivery ring quads with extracted beam orbit</t>
  </si>
  <si>
    <t>C. Johnstone,  V. Nagaslaev</t>
  </si>
  <si>
    <t>CONST-055</t>
  </si>
  <si>
    <t>Final design of conventional facilities delayed.</t>
  </si>
  <si>
    <t>ACCEL-023</t>
  </si>
  <si>
    <t>Resonant extraction leaves an inacceptably large fraction of the beam circulating in the Delivery Ring</t>
  </si>
  <si>
    <t>V. Nagaslaev, J. Morgan</t>
  </si>
  <si>
    <t>ACCEL-141</t>
  </si>
  <si>
    <t>Extraction Lambertson scope returns to Mu2e Scope</t>
  </si>
  <si>
    <t>SOL-071</t>
  </si>
  <si>
    <t>Tevatron HTS leads cannot be adapted to mu2e PS.</t>
  </si>
  <si>
    <t>SOL-068</t>
  </si>
  <si>
    <t>Conductor for Mu2e PS and DS solenoids does not have a market in industry. There may not be a sufficient business interest to invest in the tooling etc. to make this conductor</t>
  </si>
  <si>
    <t>Operations</t>
  </si>
  <si>
    <t>INFN cannot deliver full in-kind scope.</t>
  </si>
  <si>
    <t>R. Ray</t>
  </si>
  <si>
    <t>Construction funds not available as assumed.</t>
  </si>
  <si>
    <t>Simulations indicate that neutron flux at the CRV is too high.</t>
  </si>
  <si>
    <t>Simulations indicate that scintillator-based Cosmic Ray Veto does not have required efficiency.</t>
  </si>
  <si>
    <t>Simulations indicate that tracker occupancy higher than expected</t>
  </si>
  <si>
    <t>Inadequate pumping speed to maintain required vacuum in PS.</t>
  </si>
  <si>
    <t>DocDb #</t>
  </si>
  <si>
    <t>DELETED</t>
  </si>
  <si>
    <t xml:space="preserve">Date of Risk </t>
  </si>
  <si>
    <t>PM-142</t>
  </si>
  <si>
    <t>Currency fluctuations on foreign procurements</t>
  </si>
  <si>
    <t>Mitigation Cost (included in plan)</t>
  </si>
  <si>
    <t>FY14</t>
  </si>
  <si>
    <t>MUON-143</t>
  </si>
  <si>
    <t>Background rates in Cosmic Ray Veto higher than anticipated</t>
  </si>
  <si>
    <t>MUON-144</t>
  </si>
  <si>
    <t>MUON-145</t>
  </si>
  <si>
    <t>MUON-146</t>
  </si>
  <si>
    <t>MUON-147</t>
  </si>
  <si>
    <t>N. Andreev/R. Bossert</t>
  </si>
  <si>
    <t xml:space="preserve">475.08W.03,475.08W.02, 475.08W.04, 475.08W.05, 475.08W.06, 475.08W.07, 475.08W.08 </t>
  </si>
  <si>
    <t>475.04W,475.05W.02</t>
  </si>
  <si>
    <t>475.08W.05,475.08W.04</t>
  </si>
  <si>
    <t>475.08W.05,475.08W.06</t>
  </si>
  <si>
    <t>475.01W</t>
  </si>
  <si>
    <t>Unanticipated building interferences with cryoline</t>
  </si>
  <si>
    <t>Shielding installation impacts beamline alignment</t>
  </si>
  <si>
    <t>Degrader needed for calibration</t>
  </si>
  <si>
    <t>CAL-148</t>
  </si>
  <si>
    <t>Cannot develop UV-extended solid state photodetector that is blind to longer wavelengths</t>
  </si>
  <si>
    <t>D. Hitlin</t>
  </si>
  <si>
    <t>SOL-148</t>
  </si>
  <si>
    <t>?</t>
  </si>
  <si>
    <t>Production Solenoid must be installed through PS hatch using a large rented crane.</t>
  </si>
  <si>
    <t>FY18-19</t>
  </si>
  <si>
    <t>T. Page</t>
  </si>
  <si>
    <t>FY12-FY14</t>
  </si>
  <si>
    <t>FY13-FY20</t>
  </si>
  <si>
    <t>FY16-FY19</t>
  </si>
  <si>
    <t>FY14-FY19</t>
  </si>
  <si>
    <t>Realized</t>
  </si>
  <si>
    <t>FY19-FY20</t>
  </si>
  <si>
    <t>Implementation of auto tune</t>
  </si>
  <si>
    <t>FY14-FY20</t>
  </si>
  <si>
    <t>FY14-FY16</t>
  </si>
  <si>
    <t>FY18-FY20</t>
  </si>
  <si>
    <t>FY13-FY15</t>
  </si>
  <si>
    <t>FY17-FY20</t>
  </si>
  <si>
    <t>FY12-FY20</t>
  </si>
  <si>
    <t>FY15</t>
  </si>
  <si>
    <t>FY14-FY15</t>
  </si>
  <si>
    <t>Savings is captured in TRACK-099</t>
  </si>
  <si>
    <t>ACCEL-150</t>
  </si>
  <si>
    <t>Need to install additional DR tunnel shielding (list C)</t>
  </si>
  <si>
    <t>FY18-FY19</t>
  </si>
  <si>
    <t>ACCEL-151</t>
  </si>
  <si>
    <t>Redesign the Remote Handling System for Water cooled target</t>
  </si>
  <si>
    <t>M.Campbell, R.Coleman</t>
  </si>
  <si>
    <t>ACCEL-152</t>
  </si>
  <si>
    <t>Need to install additional Delivery Ring tunnel shielding (list B)</t>
  </si>
  <si>
    <t>FY-13-FY14</t>
  </si>
  <si>
    <t>FY16-FY18</t>
  </si>
  <si>
    <t>FY18</t>
  </si>
  <si>
    <t xml:space="preserve">FY19 </t>
  </si>
  <si>
    <t xml:space="preserve">FY20 </t>
  </si>
  <si>
    <t xml:space="preserve">PM-153 </t>
  </si>
  <si>
    <t>Commodity prices decrease</t>
  </si>
  <si>
    <t>FY15-FY17</t>
  </si>
  <si>
    <t>PM-154</t>
  </si>
  <si>
    <t>Commodity prices escalate faster than inflation</t>
  </si>
  <si>
    <t>Risk Contingency $</t>
  </si>
  <si>
    <t>SOL-155</t>
  </si>
  <si>
    <t>Cryo Distribution Box Funded by Cryo AIP</t>
  </si>
  <si>
    <t>Current Risk</t>
  </si>
  <si>
    <t>Use of surplus equipment for DAQ.</t>
  </si>
  <si>
    <t>Can’t control size and shape of fiber holes in extruded scintillator</t>
  </si>
  <si>
    <t>A. Pla</t>
  </si>
  <si>
    <t>VETO-156</t>
  </si>
  <si>
    <t>SOL-157</t>
  </si>
  <si>
    <t>PS conductor first article does not meet specifications</t>
  </si>
  <si>
    <t>FY15-FY16</t>
  </si>
  <si>
    <t>Custom SiPM size is needed</t>
  </si>
  <si>
    <t>Photoelectron yield does not meet requirements.</t>
  </si>
  <si>
    <t>UVa on-campus space can be found for module factory.</t>
  </si>
  <si>
    <t>FY17-18</t>
  </si>
  <si>
    <t>Photoelectron yield exceeds requirements.</t>
  </si>
  <si>
    <t>Wider counters can be extruded that meet specifications.</t>
  </si>
  <si>
    <t>More CRV coverage is needed.</t>
  </si>
  <si>
    <t xml:space="preserve">Need to add new power supplies to the beam line. </t>
  </si>
  <si>
    <t>D. Still</t>
  </si>
  <si>
    <t xml:space="preserve">Need to fabricate additional magnets to the beam line. </t>
  </si>
  <si>
    <t xml:space="preserve">Replace the Diagnostic Absorber dipole with an existing magnet </t>
  </si>
  <si>
    <t>ACCEL-200</t>
  </si>
  <si>
    <t>ACCEL-201</t>
  </si>
  <si>
    <t>ACCEL-202</t>
  </si>
  <si>
    <t>Significant injury or death associated with Mu2e construction/assembly.</t>
  </si>
  <si>
    <t>FY15-FY20</t>
  </si>
  <si>
    <t>PM-153</t>
  </si>
  <si>
    <t>1.02.03.01,  1.02.08.06</t>
  </si>
  <si>
    <t>475.02.03.02</t>
  </si>
  <si>
    <t>475.02.04</t>
  </si>
  <si>
    <t>475.02.03, 475.02.04, 475.02.05, 475.02.07</t>
  </si>
  <si>
    <t>475.02.09.02, 475.02.09.03, 475.02.09.04</t>
  </si>
  <si>
    <t>475.05.11</t>
  </si>
  <si>
    <t>475.5.7</t>
  </si>
  <si>
    <t xml:space="preserve">47501.3.2.001198 </t>
  </si>
  <si>
    <t>47501.3.1.001220, 47501.4.1.001010, 47501.4.1.001040, 47501.4.1.001070, 47501.4.1.001080, 47501.4.1.001095, 47501.4.1.001200</t>
  </si>
  <si>
    <t>475.02, 475.04.03, 475.05, 475.06.02.01</t>
  </si>
  <si>
    <t>475.04.02, 475.04.03, 475.04.04</t>
  </si>
  <si>
    <t>475.04.02, 475.04.04</t>
  </si>
  <si>
    <t>475.04.10</t>
  </si>
  <si>
    <t>475.04.05.07</t>
  </si>
  <si>
    <t>475.04.02</t>
  </si>
  <si>
    <t>475.6.3.4, 475.6.06</t>
  </si>
  <si>
    <t>475.6.2</t>
  </si>
  <si>
    <t>475.08.07, 475.08.03, 475.08.04, 475.08.05, 475.08.06, 475.08.08</t>
  </si>
  <si>
    <t>475.09W.05</t>
  </si>
  <si>
    <t>475.09W</t>
  </si>
  <si>
    <t>475.08W</t>
  </si>
  <si>
    <t>475.08W.03, 475.08W.04, 475.08W.05</t>
  </si>
  <si>
    <t>475.08W.03</t>
  </si>
  <si>
    <t>475.08W.06</t>
  </si>
  <si>
    <t>475.08W.07</t>
  </si>
  <si>
    <t>475.08W.05</t>
  </si>
  <si>
    <t>Risk ID</t>
  </si>
  <si>
    <t>Risk Form DocDb #</t>
  </si>
  <si>
    <t>Mitigation Cost
(Included in baseline)</t>
  </si>
  <si>
    <t>Category</t>
  </si>
  <si>
    <t>DocDb#-4320</t>
  </si>
  <si>
    <t>Low</t>
  </si>
  <si>
    <t>Medium</t>
  </si>
  <si>
    <t>High</t>
  </si>
  <si>
    <t>Realized Opportunities</t>
  </si>
  <si>
    <t>Drop in price of COTS components</t>
  </si>
  <si>
    <t>CONST-165</t>
  </si>
  <si>
    <t>Cost growth of conventional construction facilities because of changing stakeholder requirements.</t>
  </si>
  <si>
    <t>TRACK-166</t>
  </si>
  <si>
    <t>TRACK-167</t>
  </si>
  <si>
    <t>TRACK-168</t>
  </si>
  <si>
    <t>TRACK-169</t>
  </si>
  <si>
    <t xml:space="preserve">Need to switch straw manufacturer </t>
  </si>
  <si>
    <t>Conventional construction bids are lower than estimated cost.</t>
  </si>
  <si>
    <t>Increase in Fermilab overhead rates</t>
  </si>
  <si>
    <t>CAL-170</t>
  </si>
  <si>
    <t>Inability to purchase DT generator from Russia</t>
  </si>
  <si>
    <t>Frank Porter</t>
  </si>
  <si>
    <t>475.09W.03</t>
  </si>
  <si>
    <t>475.09W.04</t>
  </si>
  <si>
    <t>475.02W.07</t>
  </si>
  <si>
    <t>475.02W</t>
  </si>
  <si>
    <t>475.05W.06</t>
  </si>
  <si>
    <t>475.01W.4.3.001110</t>
  </si>
  <si>
    <t>475.04W.05.01</t>
  </si>
  <si>
    <t>475.08W.04,475.08W.05</t>
  </si>
  <si>
    <t xml:space="preserve">Successful TS Prototype test is a prerequisite to place TS Coil Module Purchase Order.   Placement of the PO is on the project critical path.  Thus, a delay in completing a successful prototype test delays the project schedule. </t>
  </si>
  <si>
    <t>SOL-205</t>
  </si>
  <si>
    <t>SOL-171</t>
  </si>
  <si>
    <t>Production cable does not meet specification</t>
  </si>
  <si>
    <t>M.Lamm</t>
  </si>
  <si>
    <t>Completed cryostated magnet does not pass acceptance tests at vendor</t>
  </si>
  <si>
    <t>Vendor delays not caused by FNAL</t>
  </si>
  <si>
    <t>Magnet is damaged during shipping and handling</t>
  </si>
  <si>
    <t>Operational failure during final acceptance tests at FNAL.</t>
  </si>
  <si>
    <t xml:space="preserve">Delay in FNAL supplied processes or components </t>
  </si>
  <si>
    <t>Damage to the coil module during shipping and handling</t>
  </si>
  <si>
    <t>Failure of design or fabrication of Fermilab designed cryogenic system</t>
  </si>
  <si>
    <t>Integrated module out of tolerances</t>
  </si>
  <si>
    <t>Final assembled magnet does not perform as designed</t>
  </si>
  <si>
    <t>Fermilab space or personnel resources not available when needed for final assembly</t>
  </si>
  <si>
    <t>Building is Not Ready-Unable to start infrastructure installation</t>
  </si>
  <si>
    <t>Cryogenics, Power, or Vacuum Infrastructure Not available for commissioning</t>
  </si>
  <si>
    <t>Manpower not available to start commissioning</t>
  </si>
  <si>
    <t>Support Frames require major rework</t>
  </si>
  <si>
    <t>Installation Tooling not adequate</t>
  </si>
  <si>
    <t>Vendor delays during Feedbox fabrication</t>
  </si>
  <si>
    <t>HTS  leads damage during assembly</t>
  </si>
  <si>
    <t>Cold leak in Feedbox</t>
  </si>
  <si>
    <t>Cryo, vacuum or electrical problems in cryo lines</t>
  </si>
  <si>
    <t>SOL-172</t>
  </si>
  <si>
    <t>SOL-173</t>
  </si>
  <si>
    <t>SOL-174</t>
  </si>
  <si>
    <t>SOL-175</t>
  </si>
  <si>
    <t>SOL-176</t>
  </si>
  <si>
    <t>SOL-177</t>
  </si>
  <si>
    <t>SOL-178</t>
  </si>
  <si>
    <t>SOL-179</t>
  </si>
  <si>
    <t>SOL-180</t>
  </si>
  <si>
    <t>SOL-181</t>
  </si>
  <si>
    <t>SOL-182</t>
  </si>
  <si>
    <t>SOL-183</t>
  </si>
  <si>
    <t>SOL-184</t>
  </si>
  <si>
    <t>SOL-185</t>
  </si>
  <si>
    <t>SOL-186</t>
  </si>
  <si>
    <t>SOL-187</t>
  </si>
  <si>
    <t>SOL-188</t>
  </si>
  <si>
    <t>SOL-189</t>
  </si>
  <si>
    <t>SOL-190</t>
  </si>
  <si>
    <t>SOL-191</t>
  </si>
  <si>
    <t>SOL-192</t>
  </si>
  <si>
    <t>SOL-193</t>
  </si>
  <si>
    <t>SOL-194</t>
  </si>
  <si>
    <t>SOL-195</t>
  </si>
  <si>
    <t>SOL-196</t>
  </si>
  <si>
    <t>SOL-197</t>
  </si>
  <si>
    <t>SOL-198</t>
  </si>
  <si>
    <t>SOL-199</t>
  </si>
  <si>
    <t>Same as Sol-172</t>
  </si>
  <si>
    <t xml:space="preserve">should be eliminated since it is a global catch all that we now 
break into more detail
</t>
  </si>
  <si>
    <t>remove,  it is part of the new analysis</t>
  </si>
  <si>
    <t>FY16-FY20</t>
  </si>
  <si>
    <t>FY17-FY18</t>
  </si>
  <si>
    <t>FY17</t>
  </si>
  <si>
    <t>FY15-FY19</t>
  </si>
  <si>
    <t>FY16</t>
  </si>
  <si>
    <t>TS Prototype Coil Module test failure</t>
  </si>
  <si>
    <t xml:space="preserve">Availability of spare sextupole magnets for use in Mu2e </t>
  </si>
  <si>
    <t>V.Nagaslaev</t>
  </si>
  <si>
    <t xml:space="preserve">Need to add 2 more collimators to the Extinction section  </t>
  </si>
  <si>
    <t>E.Prebys</t>
  </si>
  <si>
    <t>ACCEL-203</t>
  </si>
  <si>
    <t>ACCEL-204</t>
  </si>
  <si>
    <t>80%CL</t>
  </si>
  <si>
    <t xml:space="preserve">FY15-FY17 </t>
  </si>
  <si>
    <t>FY17-19</t>
  </si>
  <si>
    <t>FY16-19</t>
  </si>
  <si>
    <t>FY19-20</t>
  </si>
  <si>
    <t>FY19</t>
  </si>
  <si>
    <t>Retired Mitigation</t>
  </si>
  <si>
    <t>Transferred Mitigation</t>
  </si>
  <si>
    <t>Deleted Mitigation</t>
  </si>
  <si>
    <t>Total Mitigation Costs</t>
  </si>
  <si>
    <t>TS Magnet fabrication failure due supplied process or component</t>
  </si>
  <si>
    <t>DS Magnet fabrication failure due to  process or component</t>
  </si>
  <si>
    <t>DS Magnet fabrication failure due to process or component</t>
  </si>
  <si>
    <t xml:space="preserve">High crosstalk </t>
  </si>
  <si>
    <t xml:space="preserve">Drop in price of 3D printing </t>
  </si>
  <si>
    <t>Background levels &gt;4x expectation necessitate additional Tracker stations</t>
  </si>
  <si>
    <t>FY21</t>
  </si>
  <si>
    <t>D. Pushka</t>
  </si>
  <si>
    <t>FY20</t>
  </si>
  <si>
    <t>FY21-FY25</t>
  </si>
  <si>
    <t>FY20-FY25</t>
  </si>
  <si>
    <t>F21-FY25</t>
  </si>
  <si>
    <t>FY20-FY21</t>
  </si>
  <si>
    <t>ESH&amp;Q</t>
  </si>
  <si>
    <t>Version Date</t>
  </si>
  <si>
    <t>Person(s) making change</t>
  </si>
  <si>
    <t>Description of Change(s)</t>
  </si>
  <si>
    <t>Comments</t>
  </si>
  <si>
    <t>Moved CONST-049 to realized tab</t>
  </si>
  <si>
    <t>Tom states that $154,364 is the amount of the opportunity. We need to account for this change when we get a schedule from the contractor</t>
  </si>
  <si>
    <t>Mike Dinnon</t>
  </si>
  <si>
    <t>Accepted Quality rankings in the risk register</t>
  </si>
  <si>
    <t xml:space="preserve">Per CD2 Review we have added Quality into our analysis </t>
  </si>
  <si>
    <t xml:space="preserve">Moved CONST-165 to retired tab </t>
  </si>
  <si>
    <t>No</t>
  </si>
  <si>
    <t>N/A</t>
  </si>
  <si>
    <t>Amount</t>
  </si>
  <si>
    <t>Have Risk Dollars been moved yet?</t>
  </si>
  <si>
    <t>Added Quality to the assessment Matrix. This is now a part of the previuos ES&amp;H. Now it will be ESH&amp;Q.</t>
  </si>
  <si>
    <t>Added risk SOL-205 TS Prototype Coil Module test failure</t>
  </si>
  <si>
    <t xml:space="preserve">Risk Management Board Meeting 1-16-15
Changes---
ACCEL-015 - changed FY16-19 to FY17-19
                      - changed owner to Steve Werkema
ACCEL-020 - changed probablity from VL to L
MUON-138 - changed FY19 to FY19 -20
                       - changed schedule from M to N
PM-153 - changed date from FY16-18 to FY16-19
                - changed point estimate from 50% to 51%
PM-154 - changed date from FY16-18 to FY16-19
SOL-148 - changed FY18-19 to FY19-20
                 - changed T.Page to M.Lamm as owner
SOL-183 - changed FY20 to FY16-17
TRACK-169 - changed FY15 to FY15-16
                       - changed cost from H to VH </t>
  </si>
  <si>
    <t>High risk entries were reviewed at the 1-16-2015 RMB. The changes are reflected here and the forms have been updated as well.</t>
  </si>
  <si>
    <t>Delay in data taking</t>
    <phoneticPr fontId="2" type="noConversion"/>
  </si>
  <si>
    <t>RMS Cost (k$)</t>
    <phoneticPr fontId="2" type="noConversion"/>
  </si>
  <si>
    <t>Variance Cost (k$)</t>
    <phoneticPr fontId="2" type="noConversion"/>
  </si>
  <si>
    <t>Low</t>
    <phoneticPr fontId="2" type="noConversion"/>
  </si>
  <si>
    <t>AD</t>
    <phoneticPr fontId="2" type="noConversion"/>
  </si>
  <si>
    <t>PPD</t>
    <phoneticPr fontId="2" type="noConversion"/>
  </si>
  <si>
    <t>AD/PPD</t>
    <phoneticPr fontId="2" type="noConversion"/>
  </si>
  <si>
    <t>Moderate</t>
    <phoneticPr fontId="2" type="noConversion"/>
  </si>
  <si>
    <t>VL</t>
    <phoneticPr fontId="2" type="noConversion"/>
  </si>
  <si>
    <t>PPD</t>
    <phoneticPr fontId="2" type="noConversion"/>
  </si>
  <si>
    <t>REDUNDANT WITH "NEED TO INSTALL ADD'L DR SHIELDING (LIST C)"</t>
    <phoneticPr fontId="2" type="noConversion"/>
  </si>
  <si>
    <t>Moderate</t>
    <phoneticPr fontId="2" type="noConversion"/>
  </si>
  <si>
    <t>F21</t>
    <phoneticPr fontId="2" type="noConversion"/>
  </si>
  <si>
    <t>Sum(Cost)</t>
    <phoneticPr fontId="2" type="noConversion"/>
  </si>
  <si>
    <t>k$</t>
    <phoneticPr fontId="2" type="noConversion"/>
  </si>
  <si>
    <t>Var(Cost)</t>
    <phoneticPr fontId="2" type="noConversion"/>
  </si>
  <si>
    <t>RMS(Cost)</t>
    <phoneticPr fontId="2" type="noConversion"/>
  </si>
  <si>
    <t>90% CL</t>
    <phoneticPr fontId="2" type="noConversion"/>
  </si>
  <si>
    <t>1-sided (k$)</t>
    <phoneticPr fontId="2" type="noConversion"/>
  </si>
  <si>
    <t>95% CL</t>
    <phoneticPr fontId="2" type="noConversion"/>
  </si>
  <si>
    <t>Updated Transferred Risk tab with the updated information supplied by Doug from the RMB meeting 1-16-15</t>
  </si>
  <si>
    <t>Transferred risk items were reviewed initially by Doug and then brought to the board for final discussion before submittal.</t>
  </si>
  <si>
    <t>Added changes to the Risk Dollars per year tab per discussion with Ron</t>
  </si>
  <si>
    <t>Updated Transferred Risk tab
1) MUON-143 had a VH cost impact but a point estimate of only 75k.  It’s corrected to be $750k.
2) ACCEL-152 had a Schedule Delay score of N, should have be M. Also, the point estimate read “0”, changed to be $175k.</t>
  </si>
  <si>
    <t>Few typos that were corrected</t>
  </si>
  <si>
    <t>With changes to dates of risk, the funding profile of risk items has changed</t>
  </si>
  <si>
    <t>TRACK-206</t>
  </si>
  <si>
    <t>Trigger/DAQ changes-
TRIG-134
column E - change "FY15-FY19" to "FY17" (not a FY15 risk)
column H - change "M" to "L"
column Q - change "25%" to "10%"
TRIG-135
column H - change "L" to "M"
column Q - change "10%" to "30%"
TRIG-136
column E - change "FY15-FY19" to "FY18-FY19"  (not a FY15 risk)
TRIG-130
column Q - change "30%" to "50%"
TRIG -131
column E - change "FY16-FY19" to "FY19"</t>
  </si>
  <si>
    <t>Changes for 3-13-15 RMB discussion on FY15 risks</t>
  </si>
  <si>
    <t>Aseet Mukherjee</t>
  </si>
  <si>
    <t>Straws collapse due to over pressurizing of the DS during a backfill.</t>
  </si>
  <si>
    <t>TRACK-092 Change: FY15-FY16  to FY16.
VETO-122 Change: FY15-FY20 to FY17.
TRACK-206 transferred to operations</t>
  </si>
  <si>
    <t>Changes from March RMB</t>
  </si>
  <si>
    <t>100% Realized</t>
  </si>
  <si>
    <t>80% CL</t>
  </si>
  <si>
    <t>90%CL</t>
  </si>
  <si>
    <t>Realized Sol-155</t>
  </si>
  <si>
    <t>$1.972M</t>
  </si>
  <si>
    <t>Changes from May RMB</t>
  </si>
  <si>
    <t>Retired Accel-020</t>
  </si>
  <si>
    <t>$108K</t>
  </si>
  <si>
    <t>Changes from June RMB</t>
  </si>
  <si>
    <t>Contract is out so no more changes accepted. Need to move $47K into available contingency</t>
  </si>
  <si>
    <t>$47K</t>
  </si>
  <si>
    <t>MUON-207</t>
  </si>
  <si>
    <t>Next ID 208</t>
  </si>
  <si>
    <t>Inner Proton Absorber cannot be effectively realized in polymer</t>
  </si>
  <si>
    <t>Hank Glass</t>
  </si>
  <si>
    <t>Ryan Rivera</t>
  </si>
  <si>
    <r>
      <t>FY15</t>
    </r>
    <r>
      <rPr>
        <sz val="11"/>
        <rFont val="Calibri"/>
        <family val="2"/>
      </rPr>
      <t>-FY17</t>
    </r>
  </si>
  <si>
    <t>FY-15-FY17</t>
  </si>
  <si>
    <t xml:space="preserve">FY16 </t>
  </si>
  <si>
    <r>
      <t>FY</t>
    </r>
    <r>
      <rPr>
        <sz val="11"/>
        <rFont val="Calibri"/>
        <family val="2"/>
      </rPr>
      <t>18-19</t>
    </r>
  </si>
  <si>
    <t>retired 2015</t>
  </si>
  <si>
    <t>up from 143</t>
  </si>
  <si>
    <t>addition</t>
  </si>
  <si>
    <t>amount we credit</t>
  </si>
  <si>
    <t>moved to 2018 from 2017</t>
  </si>
  <si>
    <t>was in 2016</t>
  </si>
  <si>
    <t xml:space="preserve">up from 128 </t>
  </si>
  <si>
    <t>money was dedicated in 2015</t>
  </si>
  <si>
    <t>retired risk</t>
  </si>
  <si>
    <t>was part of 2016 originally</t>
  </si>
  <si>
    <t>was $35 originally</t>
  </si>
  <si>
    <t>was originally $10 savings in 2015</t>
  </si>
  <si>
    <t>was originally $7 savings in 2015</t>
  </si>
  <si>
    <t>accounted for in 2015 originally</t>
  </si>
  <si>
    <t>no change</t>
  </si>
  <si>
    <t>ACCEL-203 Extend end date to FY17</t>
  </si>
  <si>
    <t>SOL-205 Retired</t>
  </si>
  <si>
    <t>TRACK-139 Retired</t>
  </si>
  <si>
    <t>TRACK-166 Change probability from 25% to 5%</t>
  </si>
  <si>
    <t>TRACK-169 Extend end date to FY17</t>
  </si>
  <si>
    <t>All TRIG changed owner to Ryan Rivera</t>
  </si>
  <si>
    <t>VETO-122 Extend end date to FY17</t>
  </si>
  <si>
    <t>VETO-159 Extend end date to FY16</t>
  </si>
  <si>
    <t>VETO-162 Extend end date to FY16</t>
  </si>
  <si>
    <t>VETO-163 Extend end date to FY16</t>
  </si>
  <si>
    <t>ACCEL-038 The choice of target cooling is made; 
Need to change risk; 
Will do when better understand the cost impact</t>
  </si>
  <si>
    <t>ACCEL-151 Some RH design modifications are 
being made; 
Will need to change risk; 
Will do when better understand the cost impact</t>
  </si>
  <si>
    <t>MUON-147 change prob to 80%</t>
  </si>
  <si>
    <t>PM-008 work with Ron to update</t>
  </si>
  <si>
    <t>PM-009 work with Ron to update</t>
  </si>
  <si>
    <t>SOL-183 Extend end date to FY19</t>
  </si>
  <si>
    <t xml:space="preserve">SOL-189 Change probability to Low 25% </t>
  </si>
  <si>
    <t>TRACK-167 Change to FY17-18</t>
  </si>
  <si>
    <t>TRIG-131 Change Owner to Ryan Rivera- Ryan has updated also</t>
  </si>
  <si>
    <t>Changes from September RMB</t>
  </si>
  <si>
    <t>$9K</t>
  </si>
  <si>
    <t>$17K</t>
  </si>
  <si>
    <t>retired</t>
  </si>
  <si>
    <t>amount with $1245K credit from 2015</t>
  </si>
  <si>
    <t>was $24</t>
  </si>
  <si>
    <t>was originally $6 and part of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</si>
</sst>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_(&quot;$&quot;* #,##0_);_(&quot;$&quot;* \(#,##0\);_(&quot;$&quot;* &quot;-&quot;??_);_(@_)"/>
    <numFmt numFmtId="167" formatCode="m/d/yy;@"/>
    <numFmt numFmtId="168" formatCode="0_);[Red]\(0\)"/>
    <numFmt numFmtId="169" formatCode="0.00_);[Red]\(0.00\)"/>
  </numFmts>
  <fonts count="26"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8"/>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sz val="14"/>
      <color indexed="8"/>
      <name val="Segoe UI"/>
      <family val="2"/>
    </font>
    <font>
      <sz val="10"/>
      <color rgb="FF000000"/>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9"/>
      <color indexed="81"/>
      <name val="Tahoma"/>
      <family val="2"/>
    </font>
    <font>
      <sz val="11"/>
      <name val="Calibri"/>
      <family val="2"/>
    </font>
    <font>
      <b/>
      <sz val="11"/>
      <name val="Calibri"/>
      <family val="2"/>
    </font>
    <font>
      <sz val="10"/>
      <name val="Calibri"/>
      <family val="2"/>
    </font>
    <font>
      <u/>
      <sz val="11"/>
      <name val="Calibri"/>
      <family val="2"/>
      <scheme val="minor"/>
    </font>
    <font>
      <sz val="11"/>
      <name val="Segoe UI"/>
      <family val="2"/>
    </font>
    <font>
      <sz val="18"/>
      <color theme="1"/>
      <name val="Calibri"/>
      <family val="2"/>
      <scheme val="minor"/>
    </font>
    <font>
      <sz val="8"/>
      <name val="Verdana"/>
      <family val="2"/>
    </font>
    <font>
      <sz val="10"/>
      <name val="Verdana"/>
      <family val="2"/>
    </font>
    <font>
      <b/>
      <sz val="11"/>
      <color indexed="8"/>
      <name val="Calibri"/>
      <family val="2"/>
    </font>
    <font>
      <i/>
      <sz val="11"/>
      <color indexed="8"/>
      <name val="Calibri"/>
      <family val="2"/>
    </font>
    <font>
      <sz val="12"/>
      <color theme="1"/>
      <name val="Calibri"/>
      <family val="2"/>
      <scheme val="minor"/>
    </font>
  </fonts>
  <fills count="20">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33"/>
        <bgColor indexed="64"/>
      </patternFill>
    </fill>
    <fill>
      <patternFill patternType="solid">
        <fgColor rgb="FFFF0000"/>
        <bgColor indexed="64"/>
      </patternFill>
    </fill>
    <fill>
      <patternFill patternType="solid">
        <fgColor indexed="26"/>
        <bgColor indexed="64"/>
      </patternFill>
    </fill>
    <fill>
      <patternFill patternType="solid">
        <fgColor indexed="45"/>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bgColor indexed="64"/>
      </patternFill>
    </fill>
    <fill>
      <patternFill patternType="solid">
        <fgColor indexed="22"/>
        <bgColor indexed="64"/>
      </patternFill>
    </fill>
    <fill>
      <patternFill patternType="solid">
        <fgColor indexed="9"/>
        <bgColor indexed="64"/>
      </patternFill>
    </fill>
    <fill>
      <patternFill patternType="solid">
        <fgColor indexed="40"/>
        <bgColor indexed="64"/>
      </patternFill>
    </fill>
    <fill>
      <patternFill patternType="solid">
        <fgColor theme="9" tint="-0.249977111117893"/>
        <bgColor indexed="64"/>
      </patternFill>
    </fill>
    <fill>
      <patternFill patternType="solid">
        <fgColor theme="5" tint="0.39997558519241921"/>
        <bgColor indexed="64"/>
      </patternFill>
    </fill>
  </fills>
  <borders count="27">
    <border>
      <left/>
      <right/>
      <top/>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top/>
      <bottom style="thin">
        <color auto="1"/>
      </bottom>
      <diagonal/>
    </border>
    <border>
      <left style="thin">
        <color auto="1"/>
      </left>
      <right style="thin">
        <color auto="1"/>
      </right>
      <top/>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2" fillId="0" borderId="0"/>
    <xf numFmtId="44" fontId="22" fillId="0" borderId="0" applyFont="0" applyFill="0" applyBorder="0" applyAlignment="0" applyProtection="0"/>
    <xf numFmtId="9" fontId="22" fillId="0" borderId="0" applyFont="0" applyFill="0" applyBorder="0" applyAlignment="0" applyProtection="0"/>
    <xf numFmtId="0" fontId="12" fillId="0" borderId="0" applyNumberFormat="0" applyFill="0" applyBorder="0" applyAlignment="0" applyProtection="0"/>
  </cellStyleXfs>
  <cellXfs count="398">
    <xf numFmtId="0" fontId="0" fillId="0" borderId="0" xfId="0"/>
    <xf numFmtId="0" fontId="0" fillId="0" borderId="0" xfId="0" applyNumberFormat="1" applyFont="1" applyAlignment="1">
      <alignment vertical="top" wrapText="1"/>
    </xf>
    <xf numFmtId="0" fontId="0" fillId="0" borderId="0" xfId="0" applyNumberFormat="1" applyFont="1" applyAlignment="1">
      <alignment vertical="top"/>
    </xf>
    <xf numFmtId="0" fontId="3" fillId="0" borderId="0" xfId="0" applyNumberFormat="1" applyFont="1" applyAlignment="1">
      <alignment vertical="center"/>
    </xf>
    <xf numFmtId="0" fontId="3" fillId="0" borderId="0" xfId="0" applyNumberFormat="1" applyFont="1" applyAlignment="1"/>
    <xf numFmtId="0" fontId="0" fillId="0" borderId="4" xfId="0" applyNumberFormat="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3" borderId="4" xfId="0" applyNumberFormat="1" applyFont="1" applyFill="1" applyBorder="1" applyAlignment="1">
      <alignment horizontal="center" vertical="center"/>
    </xf>
    <xf numFmtId="9" fontId="0" fillId="3" borderId="4" xfId="2" applyFont="1" applyFill="1" applyBorder="1" applyAlignment="1">
      <alignment horizontal="center" vertical="center"/>
    </xf>
    <xf numFmtId="0" fontId="3" fillId="5" borderId="0" xfId="0" applyNumberFormat="1" applyFont="1" applyFill="1" applyAlignment="1"/>
    <xf numFmtId="0" fontId="0" fillId="5" borderId="0" xfId="0" applyNumberFormat="1" applyFont="1" applyFill="1" applyAlignment="1">
      <alignment vertical="top"/>
    </xf>
    <xf numFmtId="0" fontId="0" fillId="5" borderId="0" xfId="0" applyNumberFormat="1" applyFont="1" applyFill="1" applyBorder="1" applyAlignment="1">
      <alignment vertical="top"/>
    </xf>
    <xf numFmtId="164" fontId="0" fillId="3" borderId="9" xfId="1" applyNumberFormat="1" applyFont="1" applyFill="1" applyBorder="1" applyAlignment="1">
      <alignment horizontal="center" vertical="center"/>
    </xf>
    <xf numFmtId="0" fontId="0" fillId="3" borderId="9" xfId="0" applyNumberFormat="1" applyFont="1" applyFill="1" applyBorder="1" applyAlignment="1">
      <alignment horizontal="center" vertical="center"/>
    </xf>
    <xf numFmtId="9" fontId="0" fillId="3" borderId="9" xfId="2" applyFont="1" applyFill="1" applyBorder="1" applyAlignment="1">
      <alignment horizontal="center" vertical="center"/>
    </xf>
    <xf numFmtId="164" fontId="0" fillId="3" borderId="4" xfId="1" applyNumberFormat="1" applyFont="1" applyFill="1" applyBorder="1" applyAlignment="1">
      <alignment horizontal="center" vertical="center"/>
    </xf>
    <xf numFmtId="164" fontId="0" fillId="3" borderId="13" xfId="1" applyNumberFormat="1" applyFont="1" applyFill="1" applyBorder="1" applyAlignment="1">
      <alignment horizontal="center" vertical="center"/>
    </xf>
    <xf numFmtId="9" fontId="0" fillId="0" borderId="13" xfId="2" applyFont="1" applyFill="1" applyBorder="1" applyAlignment="1">
      <alignment horizontal="center" vertical="center"/>
    </xf>
    <xf numFmtId="165" fontId="0" fillId="0" borderId="4" xfId="0" applyNumberFormat="1" applyFont="1" applyBorder="1" applyAlignment="1">
      <alignment vertical="center"/>
    </xf>
    <xf numFmtId="165" fontId="0" fillId="0" borderId="3" xfId="0" applyNumberFormat="1" applyFont="1" applyBorder="1" applyAlignment="1">
      <alignment vertical="center"/>
    </xf>
    <xf numFmtId="37" fontId="2" fillId="2" borderId="13" xfId="3" applyNumberFormat="1" applyBorder="1" applyAlignment="1">
      <alignment horizontal="center" vertical="center"/>
    </xf>
    <xf numFmtId="0" fontId="0"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0" fontId="0" fillId="0" borderId="12" xfId="0" applyNumberFormat="1" applyFont="1" applyBorder="1" applyAlignment="1">
      <alignment vertical="top"/>
    </xf>
    <xf numFmtId="0" fontId="0" fillId="0" borderId="11" xfId="0" applyNumberFormat="1" applyFont="1" applyBorder="1" applyAlignment="1">
      <alignment vertical="top"/>
    </xf>
    <xf numFmtId="0" fontId="3" fillId="5" borderId="0" xfId="0" applyNumberFormat="1" applyFont="1" applyFill="1" applyAlignment="1">
      <alignment vertical="center"/>
    </xf>
    <xf numFmtId="0" fontId="3" fillId="3" borderId="14" xfId="0"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164" fontId="0" fillId="3" borderId="11" xfId="1" applyNumberFormat="1" applyFont="1" applyFill="1" applyBorder="1" applyAlignment="1">
      <alignment horizontal="center" vertical="center"/>
    </xf>
    <xf numFmtId="164" fontId="0" fillId="3" borderId="3" xfId="1" applyNumberFormat="1" applyFont="1" applyFill="1" applyBorder="1" applyAlignment="1">
      <alignment horizontal="center" vertical="center"/>
    </xf>
    <xf numFmtId="0" fontId="0" fillId="0" borderId="0" xfId="0" applyAlignment="1"/>
    <xf numFmtId="0" fontId="0" fillId="0" borderId="13" xfId="0" applyNumberFormat="1" applyBorder="1" applyAlignment="1">
      <alignment horizontal="center" vertical="top"/>
    </xf>
    <xf numFmtId="0" fontId="0" fillId="0" borderId="0" xfId="0" applyNumberFormat="1" applyFont="1" applyBorder="1" applyAlignment="1">
      <alignment vertical="top"/>
    </xf>
    <xf numFmtId="0"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164" fontId="0" fillId="3" borderId="0" xfId="1" applyNumberFormat="1" applyFont="1" applyFill="1" applyBorder="1" applyAlignment="1">
      <alignment horizontal="center" vertical="center"/>
    </xf>
    <xf numFmtId="164" fontId="0" fillId="6" borderId="13" xfId="1" applyNumberFormat="1" applyFont="1" applyFill="1" applyBorder="1" applyAlignment="1">
      <alignment horizontal="center" vertical="center"/>
    </xf>
    <xf numFmtId="0" fontId="3" fillId="8" borderId="2" xfId="0" applyNumberFormat="1" applyFont="1" applyFill="1" applyBorder="1"/>
    <xf numFmtId="0" fontId="3" fillId="8" borderId="3" xfId="0" applyNumberFormat="1" applyFont="1" applyFill="1" applyBorder="1"/>
    <xf numFmtId="0" fontId="3" fillId="8" borderId="3" xfId="0" applyNumberFormat="1" applyFont="1" applyFill="1" applyBorder="1" applyAlignment="1">
      <alignment wrapText="1"/>
    </xf>
    <xf numFmtId="0" fontId="0" fillId="0" borderId="4" xfId="0" applyNumberFormat="1" applyBorder="1"/>
    <xf numFmtId="0" fontId="0" fillId="0" borderId="4" xfId="0" applyNumberFormat="1" applyBorder="1" applyAlignment="1">
      <alignment wrapText="1"/>
    </xf>
    <xf numFmtId="0" fontId="0" fillId="10" borderId="4" xfId="0" applyNumberFormat="1" applyFill="1" applyBorder="1" applyAlignment="1">
      <alignment wrapText="1"/>
    </xf>
    <xf numFmtId="0" fontId="3" fillId="8" borderId="7" xfId="0" applyNumberFormat="1" applyFont="1" applyFill="1" applyBorder="1" applyAlignment="1">
      <alignment wrapText="1"/>
    </xf>
    <xf numFmtId="0" fontId="0" fillId="0" borderId="0" xfId="0" applyNumberFormat="1" applyFont="1" applyAlignment="1">
      <alignment horizontal="center" vertical="center"/>
    </xf>
    <xf numFmtId="0" fontId="3" fillId="9" borderId="3" xfId="0" applyNumberFormat="1" applyFont="1" applyFill="1" applyBorder="1" applyAlignment="1">
      <alignment horizontal="center" vertical="center"/>
    </xf>
    <xf numFmtId="164" fontId="0" fillId="3" borderId="4" xfId="1" applyNumberFormat="1" applyFont="1" applyFill="1" applyBorder="1" applyAlignment="1">
      <alignment horizontal="left" vertical="top"/>
    </xf>
    <xf numFmtId="0" fontId="0" fillId="3" borderId="3" xfId="0" applyNumberFormat="1" applyFont="1" applyFill="1" applyBorder="1" applyAlignment="1">
      <alignment horizontal="center" vertical="center"/>
    </xf>
    <xf numFmtId="9" fontId="0" fillId="3" borderId="3" xfId="2" applyFont="1" applyFill="1" applyBorder="1" applyAlignment="1">
      <alignment horizontal="center" vertical="center"/>
    </xf>
    <xf numFmtId="0" fontId="0" fillId="7" borderId="4" xfId="0" applyNumberFormat="1" applyFill="1" applyBorder="1" applyAlignment="1">
      <alignment horizontal="center" vertical="center"/>
    </xf>
    <xf numFmtId="0" fontId="0" fillId="4" borderId="4" xfId="0" applyNumberFormat="1" applyFill="1" applyBorder="1" applyAlignment="1">
      <alignment horizontal="center" vertical="center"/>
    </xf>
    <xf numFmtId="0" fontId="0" fillId="6" borderId="4" xfId="0" applyNumberFormat="1" applyFill="1" applyBorder="1" applyAlignment="1">
      <alignment horizontal="center" vertical="center"/>
    </xf>
    <xf numFmtId="0" fontId="5" fillId="0" borderId="4" xfId="0" applyNumberFormat="1" applyFont="1" applyBorder="1" applyAlignment="1">
      <alignment wrapText="1"/>
    </xf>
    <xf numFmtId="0" fontId="5" fillId="0" borderId="4" xfId="0" applyNumberFormat="1" applyFont="1" applyBorder="1" applyAlignment="1">
      <alignment horizontal="center" vertical="center"/>
    </xf>
    <xf numFmtId="164" fontId="5" fillId="3" borderId="4" xfId="1" applyNumberFormat="1" applyFont="1" applyFill="1" applyBorder="1" applyAlignment="1">
      <alignment horizontal="center" vertical="center"/>
    </xf>
    <xf numFmtId="0" fontId="3" fillId="8" borderId="10" xfId="0" applyNumberFormat="1" applyFont="1" applyFill="1" applyBorder="1" applyAlignment="1">
      <alignment horizontal="center" vertical="center"/>
    </xf>
    <xf numFmtId="0" fontId="0" fillId="0" borderId="4" xfId="0" applyNumberFormat="1" applyFill="1" applyBorder="1" applyAlignment="1">
      <alignment horizontal="center" vertical="center"/>
    </xf>
    <xf numFmtId="0" fontId="3" fillId="0" borderId="4" xfId="0" applyNumberFormat="1" applyFont="1" applyBorder="1" applyAlignment="1">
      <alignment horizontal="center" vertical="center"/>
    </xf>
    <xf numFmtId="0" fontId="6" fillId="0" borderId="4" xfId="0" applyNumberFormat="1" applyFont="1" applyBorder="1"/>
    <xf numFmtId="0" fontId="7" fillId="0" borderId="4" xfId="0" applyNumberFormat="1" applyFont="1" applyBorder="1" applyAlignment="1">
      <alignment horizontal="center" vertical="center"/>
    </xf>
    <xf numFmtId="0" fontId="6" fillId="0" borderId="4" xfId="0" applyNumberFormat="1" applyFont="1" applyBorder="1" applyAlignment="1">
      <alignment wrapText="1"/>
    </xf>
    <xf numFmtId="0" fontId="6" fillId="0" borderId="4" xfId="0" applyNumberFormat="1" applyFont="1" applyBorder="1" applyAlignment="1">
      <alignment horizontal="center" vertical="center"/>
    </xf>
    <xf numFmtId="0" fontId="6" fillId="0" borderId="4" xfId="0" applyNumberFormat="1" applyFont="1" applyFill="1" applyBorder="1" applyAlignment="1">
      <alignment horizontal="center" vertical="center"/>
    </xf>
    <xf numFmtId="164" fontId="6" fillId="3" borderId="4" xfId="1"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5" fontId="6" fillId="0" borderId="4" xfId="0" applyNumberFormat="1" applyFont="1" applyBorder="1" applyAlignment="1">
      <alignment vertical="center"/>
    </xf>
    <xf numFmtId="164" fontId="6" fillId="3" borderId="0" xfId="1" applyNumberFormat="1" applyFont="1" applyFill="1" applyBorder="1" applyAlignment="1">
      <alignment horizontal="center" vertical="center"/>
    </xf>
    <xf numFmtId="0" fontId="6" fillId="5" borderId="0" xfId="0" applyNumberFormat="1" applyFont="1" applyFill="1" applyAlignment="1">
      <alignment vertical="top"/>
    </xf>
    <xf numFmtId="0" fontId="6" fillId="0" borderId="0" xfId="0" applyNumberFormat="1" applyFont="1" applyAlignment="1">
      <alignment vertical="top"/>
    </xf>
    <xf numFmtId="164" fontId="8" fillId="3" borderId="4" xfId="1" applyNumberFormat="1" applyFont="1" applyFill="1" applyBorder="1" applyAlignment="1">
      <alignment horizontal="center" vertical="center"/>
    </xf>
    <xf numFmtId="0" fontId="8" fillId="3" borderId="4" xfId="0" applyNumberFormat="1" applyFont="1" applyFill="1" applyBorder="1" applyAlignment="1">
      <alignment horizontal="center" vertical="center"/>
    </xf>
    <xf numFmtId="9" fontId="8" fillId="3" borderId="9" xfId="2" applyFont="1" applyFill="1" applyBorder="1" applyAlignment="1">
      <alignment horizontal="center" vertical="center"/>
    </xf>
    <xf numFmtId="9" fontId="8" fillId="3" borderId="4" xfId="2" applyFont="1" applyFill="1" applyBorder="1" applyAlignment="1">
      <alignment horizontal="center" vertical="center"/>
    </xf>
    <xf numFmtId="0" fontId="8" fillId="0" borderId="4" xfId="0" applyNumberFormat="1" applyFont="1" applyBorder="1" applyAlignment="1">
      <alignment horizontal="center" vertical="center"/>
    </xf>
    <xf numFmtId="0" fontId="3" fillId="9" borderId="3" xfId="0" applyNumberFormat="1" applyFont="1" applyFill="1" applyBorder="1" applyAlignment="1">
      <alignment horizontal="center" vertical="center" wrapText="1"/>
    </xf>
    <xf numFmtId="164" fontId="8" fillId="3" borderId="9" xfId="1" applyNumberFormat="1" applyFont="1" applyFill="1" applyBorder="1" applyAlignment="1">
      <alignment horizontal="center" vertical="center"/>
    </xf>
    <xf numFmtId="0" fontId="8" fillId="3" borderId="9" xfId="0" applyNumberFormat="1" applyFont="1" applyFill="1" applyBorder="1" applyAlignment="1">
      <alignment horizontal="center" vertical="center"/>
    </xf>
    <xf numFmtId="9" fontId="6" fillId="3" borderId="4" xfId="2" applyFont="1" applyFill="1" applyBorder="1" applyAlignment="1">
      <alignment horizontal="center" vertical="center"/>
    </xf>
    <xf numFmtId="0" fontId="9" fillId="0" borderId="0" xfId="0" applyFont="1"/>
    <xf numFmtId="0" fontId="3" fillId="0" borderId="3" xfId="0" applyNumberFormat="1" applyFont="1" applyBorder="1" applyAlignment="1">
      <alignment horizontal="center" vertical="center" wrapText="1"/>
    </xf>
    <xf numFmtId="0" fontId="3" fillId="8" borderId="7" xfId="0" applyNumberFormat="1" applyFont="1" applyFill="1" applyBorder="1" applyAlignment="1"/>
    <xf numFmtId="0" fontId="10" fillId="0" borderId="0" xfId="0" applyFont="1"/>
    <xf numFmtId="0" fontId="10" fillId="0" borderId="0" xfId="0" applyFont="1" applyAlignment="1">
      <alignment wrapText="1"/>
    </xf>
    <xf numFmtId="44" fontId="0" fillId="0" borderId="4" xfId="1" applyFont="1" applyBorder="1" applyAlignment="1">
      <alignment wrapText="1"/>
    </xf>
    <xf numFmtId="44" fontId="0" fillId="10" borderId="4" xfId="1" applyFont="1" applyFill="1" applyBorder="1" applyAlignment="1">
      <alignment wrapText="1"/>
    </xf>
    <xf numFmtId="44" fontId="5" fillId="0" borderId="4" xfId="1" applyFont="1" applyBorder="1" applyAlignment="1">
      <alignment wrapText="1"/>
    </xf>
    <xf numFmtId="44" fontId="0" fillId="11" borderId="4" xfId="1" applyFont="1" applyFill="1" applyBorder="1" applyAlignment="1">
      <alignment wrapText="1"/>
    </xf>
    <xf numFmtId="0" fontId="0" fillId="11" borderId="4" xfId="0" applyNumberFormat="1" applyFill="1" applyBorder="1" applyAlignment="1">
      <alignment wrapText="1"/>
    </xf>
    <xf numFmtId="0" fontId="5" fillId="11" borderId="4" xfId="0" applyNumberFormat="1" applyFont="1" applyFill="1" applyBorder="1" applyAlignment="1">
      <alignment wrapText="1"/>
    </xf>
    <xf numFmtId="44" fontId="5" fillId="11" borderId="4" xfId="1" applyFont="1" applyFill="1" applyBorder="1" applyAlignment="1">
      <alignment wrapText="1"/>
    </xf>
    <xf numFmtId="0" fontId="10" fillId="11" borderId="0" xfId="0" applyFont="1" applyFill="1" applyAlignment="1">
      <alignment wrapText="1"/>
    </xf>
    <xf numFmtId="44" fontId="0" fillId="12" borderId="4" xfId="1" applyFont="1" applyFill="1" applyBorder="1" applyAlignment="1">
      <alignment wrapText="1"/>
    </xf>
    <xf numFmtId="0" fontId="0" fillId="12" borderId="4" xfId="0" applyNumberFormat="1" applyFill="1" applyBorder="1" applyAlignment="1">
      <alignment wrapText="1"/>
    </xf>
    <xf numFmtId="44" fontId="0" fillId="0" borderId="3" xfId="1" applyFont="1" applyBorder="1" applyAlignment="1">
      <alignment wrapText="1"/>
    </xf>
    <xf numFmtId="44" fontId="0" fillId="0" borderId="13" xfId="1" applyFont="1" applyBorder="1" applyAlignment="1">
      <alignment vertical="top"/>
    </xf>
    <xf numFmtId="0" fontId="5" fillId="10" borderId="4" xfId="0" applyNumberFormat="1" applyFont="1" applyFill="1" applyBorder="1" applyAlignment="1">
      <alignment wrapText="1"/>
    </xf>
    <xf numFmtId="0" fontId="6" fillId="7" borderId="4" xfId="0" applyNumberFormat="1" applyFont="1" applyFill="1" applyBorder="1" applyAlignment="1">
      <alignment wrapText="1"/>
    </xf>
    <xf numFmtId="44" fontId="6" fillId="7" borderId="4" xfId="1" applyFont="1" applyFill="1" applyBorder="1" applyAlignment="1">
      <alignment wrapText="1"/>
    </xf>
    <xf numFmtId="0" fontId="0" fillId="7" borderId="4" xfId="0" applyNumberFormat="1" applyFill="1" applyBorder="1" applyAlignment="1">
      <alignment wrapText="1"/>
    </xf>
    <xf numFmtId="44" fontId="0" fillId="7" borderId="4" xfId="1" applyFont="1" applyFill="1" applyBorder="1" applyAlignment="1">
      <alignment wrapText="1"/>
    </xf>
    <xf numFmtId="0" fontId="0" fillId="0" borderId="4" xfId="0" applyNumberFormat="1" applyFill="1" applyBorder="1" applyAlignment="1">
      <alignment wrapText="1"/>
    </xf>
    <xf numFmtId="9" fontId="5" fillId="3" borderId="9" xfId="2" applyFont="1" applyFill="1" applyBorder="1" applyAlignment="1">
      <alignment horizontal="center" vertical="center"/>
    </xf>
    <xf numFmtId="0" fontId="5" fillId="3" borderId="4" xfId="0" applyNumberFormat="1" applyFont="1" applyFill="1" applyBorder="1" applyAlignment="1">
      <alignment horizontal="center" vertical="center"/>
    </xf>
    <xf numFmtId="9" fontId="5" fillId="3" borderId="4" xfId="2" applyFont="1" applyFill="1" applyBorder="1" applyAlignment="1">
      <alignment horizontal="center" vertical="center"/>
    </xf>
    <xf numFmtId="164" fontId="5" fillId="0" borderId="4" xfId="1"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9" fontId="5" fillId="0" borderId="4" xfId="2" applyFont="1" applyFill="1" applyBorder="1" applyAlignment="1">
      <alignment horizontal="center" vertical="center"/>
    </xf>
    <xf numFmtId="9" fontId="5" fillId="0" borderId="9" xfId="2" applyFont="1" applyFill="1" applyBorder="1" applyAlignment="1">
      <alignment horizontal="center" vertical="center"/>
    </xf>
    <xf numFmtId="0" fontId="8" fillId="0" borderId="4" xfId="0" applyNumberFormat="1" applyFont="1" applyBorder="1" applyAlignment="1">
      <alignment wrapText="1"/>
    </xf>
    <xf numFmtId="0" fontId="0" fillId="0" borderId="4" xfId="0" applyNumberFormat="1" applyFont="1" applyBorder="1" applyAlignment="1">
      <alignment wrapText="1"/>
    </xf>
    <xf numFmtId="0" fontId="0" fillId="10" borderId="4" xfId="0" applyNumberFormat="1" applyFont="1" applyFill="1" applyBorder="1" applyAlignment="1">
      <alignment wrapText="1"/>
    </xf>
    <xf numFmtId="5" fontId="0" fillId="3" borderId="4" xfId="1" applyNumberFormat="1" applyFont="1" applyFill="1" applyBorder="1" applyAlignment="1">
      <alignment horizontal="center" vertical="center"/>
    </xf>
    <xf numFmtId="165" fontId="0" fillId="0" borderId="6" xfId="0" applyNumberFormat="1" applyFont="1" applyBorder="1" applyAlignment="1">
      <alignment vertical="center"/>
    </xf>
    <xf numFmtId="42" fontId="0" fillId="0" borderId="4" xfId="1" applyNumberFormat="1" applyFont="1" applyBorder="1" applyAlignment="1">
      <alignment horizontal="left" vertical="center" wrapText="1"/>
    </xf>
    <xf numFmtId="42" fontId="0" fillId="10" borderId="4" xfId="1" applyNumberFormat="1" applyFont="1" applyFill="1" applyBorder="1" applyAlignment="1">
      <alignment horizontal="left" vertical="center" wrapText="1"/>
    </xf>
    <xf numFmtId="42" fontId="5" fillId="0" borderId="4" xfId="1" applyNumberFormat="1" applyFont="1" applyBorder="1" applyAlignment="1">
      <alignment horizontal="left" vertical="center" wrapText="1"/>
    </xf>
    <xf numFmtId="0" fontId="0" fillId="0" borderId="3" xfId="0" applyNumberFormat="1" applyBorder="1"/>
    <xf numFmtId="0" fontId="3" fillId="0" borderId="3" xfId="0" applyNumberFormat="1" applyFont="1" applyBorder="1" applyAlignment="1">
      <alignment horizontal="center" vertical="center"/>
    </xf>
    <xf numFmtId="0" fontId="0" fillId="0" borderId="3" xfId="0" applyNumberFormat="1" applyBorder="1" applyAlignment="1">
      <alignment wrapText="1"/>
    </xf>
    <xf numFmtId="0" fontId="5" fillId="0" borderId="3" xfId="0" applyNumberFormat="1" applyFont="1" applyBorder="1" applyAlignment="1">
      <alignment horizontal="center" vertical="center"/>
    </xf>
    <xf numFmtId="0" fontId="0" fillId="7" borderId="3" xfId="0" applyNumberFormat="1" applyFill="1" applyBorder="1" applyAlignment="1">
      <alignment horizontal="center" vertical="center"/>
    </xf>
    <xf numFmtId="164" fontId="5" fillId="0" borderId="3" xfId="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9" fontId="8" fillId="0" borderId="3" xfId="2" applyFont="1" applyFill="1" applyBorder="1" applyAlignment="1">
      <alignment horizontal="center" vertical="center"/>
    </xf>
    <xf numFmtId="0" fontId="8" fillId="5" borderId="0" xfId="0" applyNumberFormat="1" applyFont="1" applyFill="1" applyAlignment="1">
      <alignment vertical="top"/>
    </xf>
    <xf numFmtId="0" fontId="8" fillId="0" borderId="0" xfId="0" applyNumberFormat="1" applyFont="1" applyAlignment="1">
      <alignment vertical="top"/>
    </xf>
    <xf numFmtId="164" fontId="8" fillId="3" borderId="19" xfId="1" applyNumberFormat="1" applyFont="1" applyFill="1" applyBorder="1" applyAlignment="1">
      <alignment horizontal="center" vertical="center"/>
    </xf>
    <xf numFmtId="0" fontId="5" fillId="0" borderId="4" xfId="0" applyNumberFormat="1" applyFont="1" applyFill="1" applyBorder="1"/>
    <xf numFmtId="165" fontId="5" fillId="0" borderId="4" xfId="0" applyNumberFormat="1" applyFont="1" applyBorder="1" applyAlignment="1">
      <alignment vertical="center"/>
    </xf>
    <xf numFmtId="0" fontId="0" fillId="10" borderId="3" xfId="0" applyNumberFormat="1" applyFont="1" applyFill="1" applyBorder="1" applyAlignment="1">
      <alignment wrapText="1"/>
    </xf>
    <xf numFmtId="0" fontId="0" fillId="10" borderId="3" xfId="0" applyNumberFormat="1" applyFill="1" applyBorder="1" applyAlignment="1">
      <alignment wrapText="1"/>
    </xf>
    <xf numFmtId="42" fontId="0" fillId="10" borderId="3" xfId="1" applyNumberFormat="1" applyFont="1" applyFill="1" applyBorder="1" applyAlignment="1">
      <alignment horizontal="left" vertical="center" wrapText="1"/>
    </xf>
    <xf numFmtId="0" fontId="5" fillId="0" borderId="4" xfId="0" applyNumberFormat="1" applyFont="1" applyBorder="1" applyAlignment="1">
      <alignment vertical="top" wrapText="1"/>
    </xf>
    <xf numFmtId="0" fontId="0" fillId="0" borderId="0" xfId="0" applyAlignment="1">
      <alignment horizontal="left"/>
    </xf>
    <xf numFmtId="0" fontId="0" fillId="0" borderId="0" xfId="0" applyAlignment="1">
      <alignment horizontal="center"/>
    </xf>
    <xf numFmtId="0" fontId="12" fillId="0" borderId="4" xfId="4" applyNumberFormat="1" applyBorder="1" applyAlignment="1">
      <alignment horizontal="center" vertical="center"/>
    </xf>
    <xf numFmtId="0" fontId="3" fillId="5" borderId="0" xfId="0" applyNumberFormat="1" applyFont="1" applyFill="1" applyAlignment="1">
      <alignment wrapText="1"/>
    </xf>
    <xf numFmtId="0" fontId="3" fillId="0" borderId="0" xfId="0" applyNumberFormat="1" applyFont="1" applyAlignment="1">
      <alignment wrapText="1"/>
    </xf>
    <xf numFmtId="0" fontId="0" fillId="0" borderId="0" xfId="0" applyNumberFormat="1" applyFont="1" applyBorder="1" applyAlignment="1">
      <alignment wrapText="1"/>
    </xf>
    <xf numFmtId="165" fontId="0" fillId="0" borderId="0" xfId="0" applyNumberFormat="1" applyFont="1" applyBorder="1" applyAlignment="1">
      <alignment vertical="center"/>
    </xf>
    <xf numFmtId="0" fontId="5" fillId="0" borderId="4" xfId="0" applyNumberFormat="1" applyFont="1" applyBorder="1" applyAlignment="1">
      <alignment horizontal="left"/>
    </xf>
    <xf numFmtId="0" fontId="3" fillId="0" borderId="3" xfId="0" applyNumberFormat="1" applyFont="1" applyBorder="1" applyAlignment="1">
      <alignment horizontal="center" vertical="center" wrapText="1"/>
    </xf>
    <xf numFmtId="0" fontId="3" fillId="8" borderId="7" xfId="0" applyNumberFormat="1" applyFont="1" applyFill="1" applyBorder="1" applyAlignment="1"/>
    <xf numFmtId="1" fontId="0" fillId="7" borderId="0" xfId="0" applyNumberFormat="1" applyFill="1"/>
    <xf numFmtId="1" fontId="0" fillId="4" borderId="0" xfId="0" applyNumberFormat="1" applyFill="1"/>
    <xf numFmtId="14" fontId="0" fillId="11" borderId="0" xfId="0" applyNumberFormat="1" applyFill="1"/>
    <xf numFmtId="0" fontId="0" fillId="11" borderId="0" xfId="0" applyFill="1" applyAlignment="1">
      <alignment horizontal="center" vertical="center"/>
    </xf>
    <xf numFmtId="0" fontId="0" fillId="11" borderId="0" xfId="0" applyFill="1"/>
    <xf numFmtId="0" fontId="0" fillId="11" borderId="0" xfId="0" applyFill="1" applyAlignment="1">
      <alignment wrapText="1"/>
    </xf>
    <xf numFmtId="0" fontId="0" fillId="14" borderId="4" xfId="0" applyNumberFormat="1" applyFont="1" applyFill="1" applyBorder="1" applyAlignment="1">
      <alignment wrapText="1"/>
    </xf>
    <xf numFmtId="0" fontId="0" fillId="14" borderId="4" xfId="0" applyNumberFormat="1" applyFill="1" applyBorder="1" applyAlignment="1">
      <alignment wrapText="1"/>
    </xf>
    <xf numFmtId="42" fontId="0" fillId="14" borderId="4" xfId="1" applyNumberFormat="1" applyFont="1" applyFill="1" applyBorder="1" applyAlignment="1">
      <alignment horizontal="left" vertical="center" wrapText="1"/>
    </xf>
    <xf numFmtId="0" fontId="0" fillId="0" borderId="4" xfId="0" applyNumberFormat="1" applyBorder="1" applyAlignment="1">
      <alignment wrapText="1"/>
    </xf>
    <xf numFmtId="0" fontId="5" fillId="0" borderId="4" xfId="0" applyNumberFormat="1" applyFont="1" applyBorder="1" applyAlignment="1">
      <alignment wrapText="1"/>
    </xf>
    <xf numFmtId="0" fontId="0" fillId="0" borderId="4" xfId="0" applyNumberFormat="1" applyFill="1" applyBorder="1" applyAlignment="1">
      <alignment wrapText="1"/>
    </xf>
    <xf numFmtId="0" fontId="5" fillId="0" borderId="4" xfId="0" applyNumberFormat="1" applyFont="1" applyFill="1" applyBorder="1" applyAlignment="1">
      <alignment wrapText="1"/>
    </xf>
    <xf numFmtId="0" fontId="8" fillId="0" borderId="4" xfId="0" applyNumberFormat="1" applyFont="1" applyBorder="1" applyAlignment="1">
      <alignment wrapText="1"/>
    </xf>
    <xf numFmtId="0" fontId="8" fillId="0" borderId="4" xfId="0" applyNumberFormat="1" applyFont="1" applyBorder="1" applyAlignment="1">
      <alignment wrapText="1"/>
    </xf>
    <xf numFmtId="5" fontId="0" fillId="0" borderId="0" xfId="0" applyNumberFormat="1"/>
    <xf numFmtId="0" fontId="0" fillId="7" borderId="0" xfId="0" applyNumberFormat="1" applyFont="1" applyFill="1" applyAlignment="1">
      <alignment vertical="top"/>
    </xf>
    <xf numFmtId="0" fontId="8" fillId="7" borderId="0" xfId="0" applyNumberFormat="1" applyFont="1" applyFill="1" applyAlignment="1">
      <alignment vertical="top"/>
    </xf>
    <xf numFmtId="0" fontId="5" fillId="0" borderId="0" xfId="0" applyNumberFormat="1" applyFont="1" applyAlignment="1">
      <alignment horizontal="left" vertical="top" wrapText="1"/>
    </xf>
    <xf numFmtId="0" fontId="15" fillId="0" borderId="0" xfId="0" applyNumberFormat="1" applyFont="1" applyAlignment="1">
      <alignment horizontal="left" vertical="top" wrapText="1"/>
    </xf>
    <xf numFmtId="0" fontId="5" fillId="0" borderId="0" xfId="0" applyNumberFormat="1" applyFont="1" applyFill="1" applyAlignment="1">
      <alignment horizontal="left" vertical="top" wrapText="1"/>
    </xf>
    <xf numFmtId="0" fontId="5" fillId="0" borderId="13" xfId="0" applyNumberFormat="1" applyFont="1" applyBorder="1" applyAlignment="1">
      <alignment horizontal="left" vertical="top" wrapText="1"/>
    </xf>
    <xf numFmtId="0" fontId="5" fillId="0" borderId="12" xfId="0" applyNumberFormat="1" applyFont="1" applyBorder="1" applyAlignment="1">
      <alignment horizontal="left" vertical="top" wrapText="1"/>
    </xf>
    <xf numFmtId="0" fontId="5" fillId="0" borderId="0" xfId="0" applyFont="1" applyAlignment="1">
      <alignment horizontal="left" vertical="top" wrapText="1"/>
    </xf>
    <xf numFmtId="0" fontId="11" fillId="0" borderId="0" xfId="0" applyNumberFormat="1" applyFont="1" applyAlignment="1">
      <alignment horizontal="left" vertical="top" wrapText="1"/>
    </xf>
    <xf numFmtId="0" fontId="18" fillId="0" borderId="0" xfId="4" applyNumberFormat="1" applyFont="1" applyAlignment="1">
      <alignment horizontal="left" vertical="top" wrapText="1"/>
    </xf>
    <xf numFmtId="0" fontId="11" fillId="8" borderId="7" xfId="0" applyNumberFormat="1" applyFont="1" applyFill="1" applyBorder="1" applyAlignment="1">
      <alignment horizontal="left" vertical="top" wrapText="1"/>
    </xf>
    <xf numFmtId="0" fontId="11" fillId="0" borderId="0" xfId="0" applyNumberFormat="1" applyFont="1" applyFill="1" applyAlignment="1">
      <alignment horizontal="left" vertical="top" wrapText="1"/>
    </xf>
    <xf numFmtId="0" fontId="11" fillId="8" borderId="2" xfId="0" applyNumberFormat="1" applyFont="1" applyFill="1" applyBorder="1" applyAlignment="1">
      <alignment horizontal="left" vertical="top" wrapText="1"/>
    </xf>
    <xf numFmtId="0" fontId="11" fillId="8" borderId="10" xfId="0" applyNumberFormat="1" applyFont="1" applyFill="1" applyBorder="1" applyAlignment="1">
      <alignment horizontal="left" vertical="top" wrapText="1"/>
    </xf>
    <xf numFmtId="0" fontId="11" fillId="8" borderId="3" xfId="0" applyNumberFormat="1" applyFont="1" applyFill="1" applyBorder="1" applyAlignment="1">
      <alignment horizontal="left" vertical="top" wrapText="1"/>
    </xf>
    <xf numFmtId="0" fontId="16" fillId="8" borderId="3" xfId="0" applyNumberFormat="1" applyFont="1" applyFill="1" applyBorder="1" applyAlignment="1">
      <alignment horizontal="left" vertical="top" wrapText="1"/>
    </xf>
    <xf numFmtId="0" fontId="11" fillId="14" borderId="3" xfId="0" applyNumberFormat="1" applyFont="1" applyFill="1" applyBorder="1" applyAlignment="1">
      <alignment horizontal="left" vertical="top" wrapText="1"/>
    </xf>
    <xf numFmtId="0" fontId="11" fillId="3" borderId="14" xfId="0" applyNumberFormat="1" applyFont="1" applyFill="1" applyBorder="1" applyAlignment="1">
      <alignment horizontal="left" vertical="top" wrapText="1"/>
    </xf>
    <xf numFmtId="0" fontId="11" fillId="3" borderId="15" xfId="0" applyNumberFormat="1" applyFont="1" applyFill="1" applyBorder="1" applyAlignment="1">
      <alignment horizontal="left" vertical="top" wrapText="1"/>
    </xf>
    <xf numFmtId="0" fontId="11" fillId="3" borderId="1" xfId="0" applyNumberFormat="1" applyFont="1" applyFill="1" applyBorder="1" applyAlignment="1">
      <alignment horizontal="left" vertical="top" wrapText="1"/>
    </xf>
    <xf numFmtId="0" fontId="11" fillId="0" borderId="3" xfId="0" applyNumberFormat="1" applyFont="1" applyBorder="1" applyAlignment="1">
      <alignment horizontal="left" vertical="top" wrapText="1"/>
    </xf>
    <xf numFmtId="0" fontId="5" fillId="3" borderId="4" xfId="0" applyNumberFormat="1" applyFont="1" applyFill="1" applyBorder="1" applyAlignment="1">
      <alignment horizontal="left" vertical="top" wrapText="1"/>
    </xf>
    <xf numFmtId="0" fontId="18" fillId="0" borderId="4" xfId="4" applyNumberFormat="1" applyFont="1" applyBorder="1" applyAlignment="1">
      <alignment horizontal="left" vertical="top" wrapText="1"/>
    </xf>
    <xf numFmtId="0" fontId="5" fillId="0" borderId="4" xfId="0" applyNumberFormat="1" applyFont="1" applyBorder="1" applyAlignment="1">
      <alignment horizontal="left" vertical="top" wrapText="1"/>
    </xf>
    <xf numFmtId="0" fontId="15" fillId="3" borderId="4" xfId="0" applyNumberFormat="1" applyFont="1" applyFill="1" applyBorder="1" applyAlignment="1">
      <alignment horizontal="left" vertical="top" wrapText="1"/>
    </xf>
    <xf numFmtId="42" fontId="5" fillId="0" borderId="4" xfId="1" applyNumberFormat="1" applyFont="1" applyBorder="1" applyAlignment="1">
      <alignment horizontal="left" vertical="top" wrapText="1"/>
    </xf>
    <xf numFmtId="0" fontId="5" fillId="0" borderId="4" xfId="0" applyNumberFormat="1" applyFont="1" applyFill="1" applyBorder="1" applyAlignment="1">
      <alignment horizontal="left" vertical="top" wrapText="1"/>
    </xf>
    <xf numFmtId="1" fontId="5" fillId="6" borderId="0" xfId="0" applyNumberFormat="1" applyFont="1" applyFill="1" applyAlignment="1">
      <alignment horizontal="left" vertical="top" wrapText="1"/>
    </xf>
    <xf numFmtId="164" fontId="5" fillId="3" borderId="9" xfId="1" applyNumberFormat="1" applyFont="1" applyFill="1" applyBorder="1" applyAlignment="1">
      <alignment horizontal="left" vertical="top" wrapText="1"/>
    </xf>
    <xf numFmtId="0" fontId="5" fillId="0" borderId="9" xfId="0" applyNumberFormat="1" applyFont="1" applyFill="1" applyBorder="1" applyAlignment="1">
      <alignment horizontal="left" vertical="top" wrapText="1"/>
    </xf>
    <xf numFmtId="9" fontId="5" fillId="0" borderId="9" xfId="2" applyFont="1" applyFill="1" applyBorder="1" applyAlignment="1">
      <alignment horizontal="left" vertical="top" wrapText="1"/>
    </xf>
    <xf numFmtId="0" fontId="5" fillId="3" borderId="9" xfId="0" applyNumberFormat="1" applyFont="1" applyFill="1" applyBorder="1" applyAlignment="1">
      <alignment horizontal="left" vertical="top" wrapText="1"/>
    </xf>
    <xf numFmtId="165" fontId="5" fillId="0" borderId="4" xfId="0" applyNumberFormat="1" applyFont="1" applyBorder="1" applyAlignment="1">
      <alignment horizontal="left" vertical="top" wrapText="1"/>
    </xf>
    <xf numFmtId="165" fontId="5" fillId="0" borderId="6" xfId="0" applyNumberFormat="1" applyFont="1" applyBorder="1" applyAlignment="1">
      <alignment horizontal="left" vertical="top" wrapText="1"/>
    </xf>
    <xf numFmtId="5" fontId="5" fillId="3" borderId="4" xfId="1" applyNumberFormat="1" applyFont="1" applyFill="1" applyBorder="1" applyAlignment="1">
      <alignment horizontal="left" vertical="top" wrapText="1"/>
    </xf>
    <xf numFmtId="1" fontId="5" fillId="7" borderId="4" xfId="0" applyNumberFormat="1" applyFont="1" applyFill="1" applyBorder="1" applyAlignment="1">
      <alignment horizontal="left" vertical="top" wrapText="1"/>
    </xf>
    <xf numFmtId="164" fontId="5" fillId="3" borderId="4" xfId="1" applyNumberFormat="1" applyFont="1" applyFill="1" applyBorder="1" applyAlignment="1">
      <alignment horizontal="left" vertical="top" wrapText="1"/>
    </xf>
    <xf numFmtId="9" fontId="5" fillId="3" borderId="9" xfId="2" applyFont="1" applyFill="1" applyBorder="1" applyAlignment="1">
      <alignment horizontal="left" vertical="top" wrapText="1"/>
    </xf>
    <xf numFmtId="42" fontId="5" fillId="0" borderId="4" xfId="1" applyNumberFormat="1" applyFont="1" applyFill="1" applyBorder="1" applyAlignment="1">
      <alignment horizontal="left" vertical="top" wrapText="1"/>
    </xf>
    <xf numFmtId="9" fontId="5" fillId="3" borderId="4" xfId="2" applyFont="1" applyFill="1" applyBorder="1" applyAlignment="1">
      <alignment horizontal="left" vertical="top" wrapText="1"/>
    </xf>
    <xf numFmtId="42" fontId="5" fillId="3" borderId="4" xfId="1" applyNumberFormat="1" applyFont="1" applyFill="1" applyBorder="1" applyAlignment="1">
      <alignment horizontal="left" vertical="top" wrapText="1"/>
    </xf>
    <xf numFmtId="1" fontId="5" fillId="4" borderId="0" xfId="0" applyNumberFormat="1" applyFont="1" applyFill="1" applyAlignment="1">
      <alignment horizontal="left" vertical="top" wrapText="1"/>
    </xf>
    <xf numFmtId="165" fontId="5" fillId="3" borderId="4" xfId="0" applyNumberFormat="1" applyFont="1" applyFill="1" applyBorder="1" applyAlignment="1">
      <alignment horizontal="left" vertical="top" wrapText="1"/>
    </xf>
    <xf numFmtId="3" fontId="5" fillId="3" borderId="4" xfId="0" applyNumberFormat="1" applyFont="1" applyFill="1" applyBorder="1" applyAlignment="1">
      <alignment horizontal="left" vertical="top" wrapText="1"/>
    </xf>
    <xf numFmtId="9" fontId="5" fillId="0" borderId="4" xfId="2" applyFont="1" applyFill="1" applyBorder="1" applyAlignment="1">
      <alignment horizontal="left" vertical="top" wrapText="1"/>
    </xf>
    <xf numFmtId="1" fontId="5" fillId="4" borderId="4" xfId="0" applyNumberFormat="1" applyFont="1" applyFill="1" applyBorder="1" applyAlignment="1">
      <alignment horizontal="left" vertical="top" wrapText="1"/>
    </xf>
    <xf numFmtId="0" fontId="15" fillId="3" borderId="0" xfId="0" applyFont="1" applyFill="1" applyAlignment="1">
      <alignment horizontal="left" vertical="top" wrapText="1"/>
    </xf>
    <xf numFmtId="0" fontId="5" fillId="0" borderId="0" xfId="0" applyNumberFormat="1" applyFont="1" applyBorder="1" applyAlignment="1">
      <alignment horizontal="left" vertical="top" wrapText="1"/>
    </xf>
    <xf numFmtId="5" fontId="5" fillId="0" borderId="0" xfId="0" applyNumberFormat="1" applyFont="1" applyAlignment="1">
      <alignment horizontal="left" vertical="top" wrapText="1"/>
    </xf>
    <xf numFmtId="0" fontId="15" fillId="3" borderId="4" xfId="0" applyFont="1" applyFill="1" applyBorder="1" applyAlignment="1">
      <alignment horizontal="left" vertical="top" wrapText="1"/>
    </xf>
    <xf numFmtId="164" fontId="5" fillId="0" borderId="4" xfId="1" applyNumberFormat="1" applyFont="1" applyFill="1" applyBorder="1" applyAlignment="1">
      <alignment horizontal="left" vertical="top" wrapText="1"/>
    </xf>
    <xf numFmtId="44" fontId="5" fillId="3" borderId="4" xfId="1" applyFont="1" applyFill="1" applyBorder="1" applyAlignment="1">
      <alignment horizontal="left" vertical="top" wrapText="1"/>
    </xf>
    <xf numFmtId="165" fontId="5" fillId="0" borderId="0" xfId="0" applyNumberFormat="1" applyFont="1" applyBorder="1" applyAlignment="1">
      <alignment horizontal="left" vertical="top" wrapText="1"/>
    </xf>
    <xf numFmtId="6" fontId="5" fillId="0" borderId="0" xfId="0" applyNumberFormat="1" applyFont="1" applyAlignment="1">
      <alignment horizontal="left" vertical="top" wrapText="1"/>
    </xf>
    <xf numFmtId="0" fontId="15" fillId="0" borderId="4" xfId="0" applyNumberFormat="1" applyFont="1" applyBorder="1" applyAlignment="1">
      <alignment horizontal="left" vertical="top" wrapText="1"/>
    </xf>
    <xf numFmtId="0" fontId="18" fillId="0" borderId="4" xfId="4" applyFont="1" applyBorder="1" applyAlignment="1">
      <alignment horizontal="left" vertical="top" wrapText="1"/>
    </xf>
    <xf numFmtId="164" fontId="5" fillId="3" borderId="0" xfId="1" applyNumberFormat="1" applyFont="1" applyFill="1" applyBorder="1" applyAlignment="1">
      <alignment horizontal="left" vertical="top" wrapText="1"/>
    </xf>
    <xf numFmtId="0" fontId="18" fillId="0" borderId="0" xfId="4" applyNumberFormat="1" applyFont="1" applyBorder="1" applyAlignment="1">
      <alignment horizontal="left" vertical="top" wrapText="1"/>
    </xf>
    <xf numFmtId="0" fontId="15" fillId="0" borderId="4" xfId="0" applyFont="1" applyBorder="1" applyAlignment="1">
      <alignment horizontal="left" vertical="top" wrapText="1"/>
    </xf>
    <xf numFmtId="0" fontId="5" fillId="0" borderId="4" xfId="0" applyFont="1" applyBorder="1" applyAlignment="1">
      <alignment horizontal="left" vertical="top" wrapText="1"/>
    </xf>
    <xf numFmtId="0" fontId="5" fillId="13" borderId="4"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wrapText="1"/>
    </xf>
    <xf numFmtId="0" fontId="5" fillId="3" borderId="4" xfId="0" applyFont="1" applyFill="1" applyBorder="1" applyAlignment="1">
      <alignment horizontal="left" vertical="top" wrapText="1"/>
    </xf>
    <xf numFmtId="0" fontId="18" fillId="0" borderId="0" xfId="4" applyFont="1" applyBorder="1" applyAlignment="1">
      <alignment horizontal="left" vertical="top" wrapText="1"/>
    </xf>
    <xf numFmtId="0" fontId="1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49" fontId="5" fillId="0" borderId="4" xfId="0" applyNumberFormat="1" applyFont="1" applyBorder="1" applyAlignment="1">
      <alignment horizontal="left" vertical="top" wrapText="1"/>
    </xf>
    <xf numFmtId="164" fontId="5" fillId="0" borderId="4" xfId="1" applyNumberFormat="1" applyFont="1" applyBorder="1" applyAlignment="1">
      <alignment horizontal="left" vertical="top" wrapText="1"/>
    </xf>
    <xf numFmtId="9" fontId="5" fillId="0" borderId="9" xfId="0" applyNumberFormat="1" applyFont="1" applyFill="1" applyBorder="1" applyAlignment="1">
      <alignment horizontal="left" vertical="top" wrapText="1"/>
    </xf>
    <xf numFmtId="0" fontId="15" fillId="0" borderId="4" xfId="0" applyFont="1" applyFill="1" applyBorder="1" applyAlignment="1">
      <alignment horizontal="left" vertical="top" wrapText="1"/>
    </xf>
    <xf numFmtId="166" fontId="5" fillId="0" borderId="4" xfId="0" applyNumberFormat="1" applyFont="1" applyFill="1" applyBorder="1" applyAlignment="1">
      <alignment horizontal="left" vertical="top" wrapText="1"/>
    </xf>
    <xf numFmtId="164" fontId="5" fillId="0" borderId="4" xfId="0" applyNumberFormat="1" applyFont="1" applyBorder="1" applyAlignment="1">
      <alignment horizontal="left" vertical="top" wrapText="1"/>
    </xf>
    <xf numFmtId="9" fontId="5" fillId="0" borderId="4" xfId="0" applyNumberFormat="1" applyFont="1" applyFill="1" applyBorder="1" applyAlignment="1">
      <alignment horizontal="left" vertical="top" wrapText="1"/>
    </xf>
    <xf numFmtId="166" fontId="5" fillId="0" borderId="3" xfId="0" applyNumberFormat="1" applyFont="1" applyFill="1" applyBorder="1" applyAlignment="1">
      <alignment horizontal="left" vertical="top" wrapText="1"/>
    </xf>
    <xf numFmtId="0" fontId="5" fillId="0" borderId="3" xfId="0" applyNumberFormat="1" applyFont="1" applyBorder="1" applyAlignment="1">
      <alignment horizontal="left" vertical="top" wrapText="1"/>
    </xf>
    <xf numFmtId="164" fontId="5" fillId="3" borderId="19" xfId="1"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Border="1" applyAlignment="1">
      <alignment horizontal="left" vertical="top" wrapText="1"/>
    </xf>
    <xf numFmtId="0" fontId="18" fillId="0" borderId="4" xfId="4" applyFont="1" applyFill="1" applyBorder="1" applyAlignment="1">
      <alignment horizontal="left" vertical="top" wrapText="1"/>
    </xf>
    <xf numFmtId="164" fontId="5" fillId="3" borderId="6" xfId="1" applyNumberFormat="1" applyFont="1" applyFill="1" applyBorder="1" applyAlignment="1">
      <alignment horizontal="left" vertical="top" wrapText="1"/>
    </xf>
    <xf numFmtId="9" fontId="5" fillId="0" borderId="0" xfId="0" applyNumberFormat="1" applyFont="1" applyFill="1" applyAlignment="1">
      <alignment horizontal="left" vertical="top" wrapText="1"/>
    </xf>
    <xf numFmtId="0" fontId="15" fillId="0" borderId="4" xfId="0" applyNumberFormat="1" applyFont="1" applyFill="1" applyBorder="1" applyAlignment="1">
      <alignment horizontal="left" vertical="top" wrapText="1"/>
    </xf>
    <xf numFmtId="44" fontId="5" fillId="0" borderId="4" xfId="1" applyFont="1" applyFill="1" applyBorder="1" applyAlignment="1">
      <alignment horizontal="left" vertical="top" wrapText="1"/>
    </xf>
    <xf numFmtId="9" fontId="5" fillId="3" borderId="0" xfId="2" applyFont="1" applyFill="1" applyBorder="1" applyAlignment="1">
      <alignment horizontal="left" vertical="top" wrapText="1"/>
    </xf>
    <xf numFmtId="165" fontId="5" fillId="0" borderId="4" xfId="0" applyNumberFormat="1" applyFont="1" applyFill="1" applyBorder="1" applyAlignment="1">
      <alignment horizontal="left" vertical="top" wrapText="1"/>
    </xf>
    <xf numFmtId="9" fontId="5" fillId="0" borderId="0" xfId="2" applyFont="1" applyFill="1" applyBorder="1" applyAlignment="1">
      <alignment horizontal="left" vertical="top" wrapText="1"/>
    </xf>
    <xf numFmtId="44" fontId="5" fillId="0" borderId="4" xfId="0" applyNumberFormat="1" applyFont="1" applyFill="1" applyBorder="1" applyAlignment="1">
      <alignment horizontal="left" vertical="top" wrapText="1"/>
    </xf>
    <xf numFmtId="44" fontId="5" fillId="0" borderId="4" xfId="1" applyFont="1" applyBorder="1" applyAlignment="1">
      <alignment horizontal="left" vertical="top" wrapText="1"/>
    </xf>
    <xf numFmtId="0" fontId="15" fillId="0" borderId="0" xfId="0" applyNumberFormat="1" applyFont="1" applyBorder="1" applyAlignment="1">
      <alignment horizontal="left" vertical="top" wrapText="1"/>
    </xf>
    <xf numFmtId="0" fontId="15" fillId="0" borderId="0" xfId="0" applyFont="1" applyAlignment="1">
      <alignment horizontal="left" vertical="top" wrapText="1"/>
    </xf>
    <xf numFmtId="42" fontId="5" fillId="0" borderId="0" xfId="1" applyNumberFormat="1" applyFont="1" applyBorder="1" applyAlignment="1">
      <alignment horizontal="left" vertical="top" wrapText="1"/>
    </xf>
    <xf numFmtId="0" fontId="19" fillId="0" borderId="0" xfId="0" applyFont="1" applyAlignment="1">
      <alignment horizontal="left" vertical="top" wrapText="1"/>
    </xf>
    <xf numFmtId="164" fontId="5" fillId="3" borderId="18" xfId="1" applyNumberFormat="1" applyFont="1" applyFill="1" applyBorder="1" applyAlignment="1">
      <alignment horizontal="left" vertical="top" wrapText="1"/>
    </xf>
    <xf numFmtId="37" fontId="5" fillId="2" borderId="18" xfId="3" applyNumberFormat="1" applyFont="1" applyBorder="1" applyAlignment="1">
      <alignment horizontal="left" vertical="top" wrapText="1"/>
    </xf>
    <xf numFmtId="9" fontId="5" fillId="0" borderId="18" xfId="2" applyFont="1" applyFill="1" applyBorder="1" applyAlignment="1">
      <alignment horizontal="left" vertical="top" wrapText="1"/>
    </xf>
    <xf numFmtId="164" fontId="5" fillId="3" borderId="20" xfId="1" applyNumberFormat="1" applyFont="1" applyFill="1" applyBorder="1" applyAlignment="1">
      <alignment horizontal="left" vertical="top" wrapText="1"/>
    </xf>
    <xf numFmtId="37" fontId="5" fillId="2" borderId="15" xfId="3" applyNumberFormat="1" applyFont="1" applyBorder="1" applyAlignment="1">
      <alignment horizontal="left" vertical="top" wrapText="1"/>
    </xf>
    <xf numFmtId="0" fontId="5" fillId="3" borderId="15" xfId="1" applyNumberFormat="1" applyFont="1" applyFill="1" applyBorder="1" applyAlignment="1">
      <alignment horizontal="left" vertical="top" wrapText="1"/>
    </xf>
    <xf numFmtId="164" fontId="5" fillId="3" borderId="15" xfId="1" applyNumberFormat="1" applyFont="1" applyFill="1" applyBorder="1" applyAlignment="1">
      <alignment horizontal="left" vertical="top" wrapText="1"/>
    </xf>
    <xf numFmtId="5" fontId="5" fillId="6" borderId="15" xfId="1" applyNumberFormat="1" applyFont="1" applyFill="1" applyBorder="1" applyAlignment="1">
      <alignment horizontal="left" vertical="top" wrapText="1"/>
    </xf>
    <xf numFmtId="5" fontId="5" fillId="0" borderId="15" xfId="1"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166" fontId="5" fillId="0" borderId="0" xfId="0" applyNumberFormat="1" applyFont="1" applyAlignment="1">
      <alignment horizontal="left" vertical="top" wrapText="1"/>
    </xf>
    <xf numFmtId="166" fontId="11" fillId="0" borderId="13" xfId="0" applyNumberFormat="1" applyFont="1" applyBorder="1" applyAlignment="1">
      <alignment horizontal="left" vertical="top" wrapText="1"/>
    </xf>
    <xf numFmtId="0" fontId="8" fillId="0" borderId="4" xfId="0" applyNumberFormat="1" applyFont="1" applyBorder="1" applyAlignment="1">
      <alignment horizontal="left" vertical="top" wrapText="1"/>
    </xf>
    <xf numFmtId="0" fontId="8" fillId="0" borderId="4" xfId="0" applyFont="1" applyFill="1" applyBorder="1" applyAlignment="1">
      <alignment horizontal="left" vertical="top" wrapText="1"/>
    </xf>
    <xf numFmtId="14" fontId="0" fillId="11" borderId="21" xfId="0" applyNumberFormat="1" applyFill="1" applyBorder="1"/>
    <xf numFmtId="0" fontId="0" fillId="11" borderId="21" xfId="0" applyFill="1" applyBorder="1" applyAlignment="1">
      <alignment horizontal="center" vertical="center"/>
    </xf>
    <xf numFmtId="0" fontId="0" fillId="11" borderId="21" xfId="0" applyFill="1" applyBorder="1"/>
    <xf numFmtId="0" fontId="0" fillId="11" borderId="21" xfId="0" applyFill="1" applyBorder="1" applyAlignment="1">
      <alignment wrapText="1"/>
    </xf>
    <xf numFmtId="0" fontId="18" fillId="0" borderId="4" xfId="4" applyFont="1" applyBorder="1" applyAlignment="1">
      <alignment horizontal="center" vertical="center" wrapText="1"/>
    </xf>
    <xf numFmtId="0" fontId="18" fillId="0" borderId="4" xfId="4" applyNumberFormat="1" applyFont="1" applyBorder="1" applyAlignment="1">
      <alignment horizontal="center" vertical="center" wrapText="1"/>
    </xf>
    <xf numFmtId="167" fontId="0" fillId="0" borderId="4" xfId="0" applyNumberFormat="1" applyBorder="1" applyAlignment="1">
      <alignment horizontal="left"/>
    </xf>
    <xf numFmtId="0" fontId="0" fillId="0" borderId="4" xfId="0" applyBorder="1" applyAlignment="1">
      <alignment horizontal="left"/>
    </xf>
    <xf numFmtId="0" fontId="0" fillId="0" borderId="4" xfId="0" applyBorder="1" applyAlignment="1">
      <alignment horizontal="left" wrapText="1"/>
    </xf>
    <xf numFmtId="0" fontId="0" fillId="0" borderId="4" xfId="0" applyBorder="1" applyAlignment="1">
      <alignment wrapText="1"/>
    </xf>
    <xf numFmtId="0" fontId="0" fillId="0" borderId="4" xfId="0" applyBorder="1"/>
    <xf numFmtId="0" fontId="20" fillId="0" borderId="4" xfId="0" applyFont="1" applyBorder="1" applyAlignment="1">
      <alignment horizontal="center" vertical="center"/>
    </xf>
    <xf numFmtId="0" fontId="0" fillId="0" borderId="4" xfId="0" applyBorder="1" applyAlignment="1">
      <alignment horizontal="center" vertical="center"/>
    </xf>
    <xf numFmtId="0" fontId="3" fillId="12" borderId="22" xfId="0" applyFont="1" applyFill="1" applyBorder="1" applyAlignment="1">
      <alignment wrapText="1"/>
    </xf>
    <xf numFmtId="167" fontId="3" fillId="12" borderId="3" xfId="0" applyNumberFormat="1" applyFont="1" applyFill="1" applyBorder="1" applyAlignment="1">
      <alignment horizontal="left" wrapText="1"/>
    </xf>
    <xf numFmtId="0" fontId="3" fillId="12" borderId="3" xfId="0" applyFont="1" applyFill="1" applyBorder="1" applyAlignment="1">
      <alignment wrapText="1"/>
    </xf>
    <xf numFmtId="14" fontId="0" fillId="0" borderId="4" xfId="0" applyNumberFormat="1" applyBorder="1" applyAlignment="1">
      <alignment horizontal="left"/>
    </xf>
    <xf numFmtId="1" fontId="5" fillId="6" borderId="4" xfId="0" applyNumberFormat="1" applyFont="1" applyFill="1" applyBorder="1" applyAlignment="1">
      <alignment horizontal="left" vertical="top" wrapText="1"/>
    </xf>
    <xf numFmtId="0" fontId="12" fillId="0" borderId="4" xfId="4" applyBorder="1" applyAlignment="1">
      <alignment horizontal="left" vertical="top" wrapText="1"/>
    </xf>
    <xf numFmtId="0" fontId="22" fillId="0" borderId="0" xfId="6" applyNumberFormat="1" applyFont="1" applyAlignment="1">
      <alignment vertical="top"/>
    </xf>
    <xf numFmtId="0" fontId="22" fillId="0" borderId="0" xfId="6" applyNumberFormat="1" applyFont="1" applyAlignment="1">
      <alignment horizontal="center" vertical="center"/>
    </xf>
    <xf numFmtId="0" fontId="15" fillId="0" borderId="0" xfId="6" applyNumberFormat="1" applyFont="1" applyAlignment="1">
      <alignment vertical="top"/>
    </xf>
    <xf numFmtId="0" fontId="22" fillId="0" borderId="0" xfId="6" applyNumberFormat="1" applyFont="1" applyAlignment="1">
      <alignment vertical="top" wrapText="1"/>
    </xf>
    <xf numFmtId="0" fontId="22" fillId="0" borderId="0" xfId="6" applyNumberFormat="1" applyFont="1" applyFill="1" applyAlignment="1">
      <alignment horizontal="center" vertical="center"/>
    </xf>
    <xf numFmtId="0" fontId="22" fillId="0" borderId="0" xfId="6"/>
    <xf numFmtId="0" fontId="23" fillId="8" borderId="7" xfId="6" applyNumberFormat="1" applyFont="1" applyFill="1" applyBorder="1" applyAlignment="1"/>
    <xf numFmtId="0" fontId="23" fillId="8" borderId="7" xfId="6" applyNumberFormat="1" applyFont="1" applyFill="1" applyBorder="1" applyAlignment="1">
      <alignment wrapText="1"/>
    </xf>
    <xf numFmtId="0" fontId="23" fillId="0" borderId="0" xfId="6" applyNumberFormat="1" applyFont="1" applyFill="1" applyAlignment="1">
      <alignment horizontal="center" vertical="center"/>
    </xf>
    <xf numFmtId="0" fontId="23" fillId="15" borderId="0" xfId="6" applyNumberFormat="1" applyFont="1" applyFill="1" applyAlignment="1">
      <alignment vertical="center"/>
    </xf>
    <xf numFmtId="0" fontId="23" fillId="8" borderId="2" xfId="6" applyNumberFormat="1" applyFont="1" applyFill="1" applyBorder="1"/>
    <xf numFmtId="0" fontId="23" fillId="8" borderId="10" xfId="6" applyNumberFormat="1" applyFont="1" applyFill="1" applyBorder="1" applyAlignment="1">
      <alignment horizontal="center" vertical="center"/>
    </xf>
    <xf numFmtId="0" fontId="23" fillId="8" borderId="3" xfId="6" applyNumberFormat="1" applyFont="1" applyFill="1" applyBorder="1"/>
    <xf numFmtId="0" fontId="16" fillId="8" borderId="3" xfId="6" applyNumberFormat="1" applyFont="1" applyFill="1" applyBorder="1" applyAlignment="1">
      <alignment wrapText="1"/>
    </xf>
    <xf numFmtId="0" fontId="23" fillId="8" borderId="3" xfId="6" applyNumberFormat="1" applyFont="1" applyFill="1" applyBorder="1" applyAlignment="1">
      <alignment wrapText="1"/>
    </xf>
    <xf numFmtId="0" fontId="23" fillId="9" borderId="3" xfId="6" applyNumberFormat="1" applyFont="1" applyFill="1" applyBorder="1" applyAlignment="1">
      <alignment horizontal="center" vertical="center"/>
    </xf>
    <xf numFmtId="0" fontId="23" fillId="9" borderId="3" xfId="6" applyNumberFormat="1" applyFont="1" applyFill="1" applyBorder="1" applyAlignment="1">
      <alignment horizontal="center" vertical="center" wrapText="1"/>
    </xf>
    <xf numFmtId="0" fontId="23" fillId="16" borderId="14" xfId="6" applyNumberFormat="1" applyFont="1" applyFill="1" applyBorder="1" applyAlignment="1">
      <alignment horizontal="center" vertical="center" wrapText="1"/>
    </xf>
    <xf numFmtId="0" fontId="23" fillId="16" borderId="15" xfId="6" applyNumberFormat="1" applyFont="1" applyFill="1" applyBorder="1" applyAlignment="1">
      <alignment horizontal="center" vertical="center" wrapText="1"/>
    </xf>
    <xf numFmtId="0" fontId="23" fillId="16" borderId="1" xfId="6" applyNumberFormat="1" applyFont="1" applyFill="1" applyBorder="1" applyAlignment="1">
      <alignment horizontal="center" vertical="center" wrapText="1"/>
    </xf>
    <xf numFmtId="0" fontId="23" fillId="15" borderId="0" xfId="6" applyNumberFormat="1" applyFont="1" applyFill="1" applyAlignment="1"/>
    <xf numFmtId="0" fontId="22" fillId="0" borderId="4" xfId="6" applyNumberFormat="1" applyBorder="1"/>
    <xf numFmtId="0" fontId="23" fillId="0" borderId="4" xfId="6" applyNumberFormat="1" applyFont="1" applyBorder="1" applyAlignment="1">
      <alignment horizontal="center" vertical="center"/>
    </xf>
    <xf numFmtId="0" fontId="15" fillId="17" borderId="4" xfId="6" applyNumberFormat="1" applyFont="1" applyFill="1" applyBorder="1" applyAlignment="1">
      <alignment wrapText="1"/>
    </xf>
    <xf numFmtId="0" fontId="22" fillId="17" borderId="4" xfId="6" applyNumberFormat="1" applyFill="1" applyBorder="1" applyAlignment="1">
      <alignment wrapText="1"/>
    </xf>
    <xf numFmtId="44" fontId="0" fillId="17" borderId="4" xfId="7" applyFont="1" applyFill="1" applyBorder="1" applyAlignment="1">
      <alignment wrapText="1"/>
    </xf>
    <xf numFmtId="0" fontId="22" fillId="0" borderId="4" xfId="6" applyNumberFormat="1" applyBorder="1" applyAlignment="1">
      <alignment wrapText="1"/>
    </xf>
    <xf numFmtId="0" fontId="22" fillId="0" borderId="4" xfId="6" applyNumberFormat="1" applyBorder="1" applyAlignment="1">
      <alignment horizontal="center" vertical="center"/>
    </xf>
    <xf numFmtId="164" fontId="0" fillId="16" borderId="4" xfId="7" applyNumberFormat="1" applyFont="1" applyFill="1" applyBorder="1" applyAlignment="1">
      <alignment horizontal="center" vertical="center"/>
    </xf>
    <xf numFmtId="168" fontId="0" fillId="16" borderId="4" xfId="7" applyNumberFormat="1" applyFont="1" applyFill="1" applyBorder="1" applyAlignment="1">
      <alignment horizontal="center" vertical="center"/>
    </xf>
    <xf numFmtId="0" fontId="22" fillId="16" borderId="4" xfId="6" applyNumberFormat="1" applyFont="1" applyFill="1" applyBorder="1" applyAlignment="1">
      <alignment horizontal="center" vertical="center"/>
    </xf>
    <xf numFmtId="169" fontId="0" fillId="16" borderId="9" xfId="8" applyNumberFormat="1" applyFont="1" applyFill="1" applyBorder="1" applyAlignment="1">
      <alignment horizontal="center" vertical="center"/>
    </xf>
    <xf numFmtId="38" fontId="22" fillId="16" borderId="4" xfId="6" applyNumberFormat="1" applyFont="1" applyFill="1" applyBorder="1" applyAlignment="1">
      <alignment horizontal="center" vertical="center"/>
    </xf>
    <xf numFmtId="0" fontId="22" fillId="15" borderId="0" xfId="6" applyNumberFormat="1" applyFill="1" applyAlignment="1">
      <alignment vertical="top"/>
    </xf>
    <xf numFmtId="42" fontId="0" fillId="17" borderId="4" xfId="7" applyNumberFormat="1" applyFont="1" applyFill="1" applyBorder="1" applyAlignment="1">
      <alignment horizontal="left" vertical="center" wrapText="1"/>
    </xf>
    <xf numFmtId="0" fontId="15" fillId="0" borderId="4" xfId="6" applyNumberFormat="1" applyFont="1" applyBorder="1" applyAlignment="1">
      <alignment wrapText="1"/>
    </xf>
    <xf numFmtId="0" fontId="15" fillId="0" borderId="4" xfId="6" applyNumberFormat="1" applyFont="1" applyBorder="1" applyAlignment="1">
      <alignment horizontal="center" vertical="center"/>
    </xf>
    <xf numFmtId="168" fontId="15" fillId="0" borderId="4" xfId="7" applyNumberFormat="1" applyFont="1" applyFill="1" applyBorder="1" applyAlignment="1">
      <alignment horizontal="center" vertical="center"/>
    </xf>
    <xf numFmtId="0" fontId="15" fillId="0" borderId="4" xfId="6" applyNumberFormat="1" applyFont="1" applyFill="1" applyBorder="1" applyAlignment="1">
      <alignment horizontal="center" vertical="center"/>
    </xf>
    <xf numFmtId="169" fontId="15" fillId="0" borderId="9" xfId="8" applyNumberFormat="1" applyFont="1" applyFill="1" applyBorder="1" applyAlignment="1">
      <alignment horizontal="center" vertical="center"/>
    </xf>
    <xf numFmtId="168" fontId="15" fillId="16" borderId="4" xfId="7" applyNumberFormat="1" applyFont="1" applyFill="1" applyBorder="1" applyAlignment="1">
      <alignment horizontal="center" vertical="center"/>
    </xf>
    <xf numFmtId="0" fontId="15" fillId="16" borderId="4" xfId="6" applyNumberFormat="1" applyFont="1" applyFill="1" applyBorder="1" applyAlignment="1">
      <alignment horizontal="center" vertical="center"/>
    </xf>
    <xf numFmtId="38" fontId="15" fillId="16" borderId="4" xfId="6" applyNumberFormat="1" applyFont="1" applyFill="1" applyBorder="1" applyAlignment="1">
      <alignment horizontal="center" vertical="center"/>
    </xf>
    <xf numFmtId="168" fontId="15" fillId="16" borderId="9" xfId="7" applyNumberFormat="1" applyFont="1" applyFill="1" applyBorder="1" applyAlignment="1">
      <alignment horizontal="center" vertical="center"/>
    </xf>
    <xf numFmtId="169" fontId="15" fillId="16" borderId="4" xfId="8" applyNumberFormat="1" applyFont="1" applyFill="1" applyBorder="1" applyAlignment="1">
      <alignment horizontal="center" vertical="center"/>
    </xf>
    <xf numFmtId="169" fontId="15" fillId="16" borderId="9" xfId="8" applyNumberFormat="1" applyFont="1" applyFill="1" applyBorder="1" applyAlignment="1">
      <alignment horizontal="center" vertical="center"/>
    </xf>
    <xf numFmtId="44" fontId="15" fillId="17" borderId="4" xfId="7" applyFont="1" applyFill="1" applyBorder="1" applyAlignment="1">
      <alignment wrapText="1"/>
    </xf>
    <xf numFmtId="0" fontId="22" fillId="18" borderId="4" xfId="6" applyNumberFormat="1" applyFill="1" applyBorder="1"/>
    <xf numFmtId="168" fontId="15" fillId="0" borderId="4" xfId="6" applyNumberFormat="1" applyFont="1" applyBorder="1" applyAlignment="1">
      <alignment horizontal="center" vertical="center"/>
    </xf>
    <xf numFmtId="169" fontId="0" fillId="16" borderId="4" xfId="8" applyNumberFormat="1" applyFont="1" applyFill="1" applyBorder="1" applyAlignment="1">
      <alignment horizontal="center" vertical="center"/>
    </xf>
    <xf numFmtId="0" fontId="24" fillId="15" borderId="0" xfId="6" applyNumberFormat="1" applyFont="1" applyFill="1" applyAlignment="1">
      <alignment vertical="top"/>
    </xf>
    <xf numFmtId="0" fontId="15" fillId="17" borderId="4" xfId="6" applyFont="1" applyFill="1" applyBorder="1" applyAlignment="1">
      <alignment wrapText="1"/>
    </xf>
    <xf numFmtId="169" fontId="22" fillId="0" borderId="0" xfId="6" applyNumberFormat="1"/>
    <xf numFmtId="43" fontId="22" fillId="0" borderId="0" xfId="6" applyNumberFormat="1"/>
    <xf numFmtId="0" fontId="11" fillId="0" borderId="3" xfId="0" applyNumberFormat="1" applyFont="1" applyBorder="1" applyAlignment="1">
      <alignment horizontal="left" vertical="top" wrapText="1"/>
    </xf>
    <xf numFmtId="0" fontId="11" fillId="8" borderId="7" xfId="0" applyNumberFormat="1" applyFont="1" applyFill="1" applyBorder="1" applyAlignment="1">
      <alignment horizontal="left" vertical="top" wrapText="1"/>
    </xf>
    <xf numFmtId="0" fontId="0" fillId="0" borderId="4" xfId="0" applyNumberFormat="1" applyFont="1" applyBorder="1" applyAlignment="1">
      <alignment horizontal="left" vertical="top" wrapText="1"/>
    </xf>
    <xf numFmtId="0" fontId="22" fillId="0" borderId="8" xfId="6" applyBorder="1"/>
    <xf numFmtId="0" fontId="22" fillId="19" borderId="4" xfId="6" applyNumberFormat="1" applyFill="1" applyBorder="1"/>
    <xf numFmtId="0" fontId="17" fillId="17" borderId="4" xfId="6" applyNumberFormat="1" applyFont="1" applyFill="1" applyBorder="1" applyAlignment="1">
      <alignment wrapText="1"/>
    </xf>
    <xf numFmtId="0" fontId="3" fillId="0" borderId="19" xfId="0" applyNumberFormat="1" applyFont="1" applyBorder="1" applyAlignment="1">
      <alignment horizontal="center" vertical="center" wrapText="1"/>
    </xf>
    <xf numFmtId="164" fontId="0" fillId="3" borderId="6" xfId="1" applyNumberFormat="1" applyFont="1" applyFill="1" applyBorder="1" applyAlignment="1">
      <alignment horizontal="center" vertical="center"/>
    </xf>
    <xf numFmtId="164" fontId="6" fillId="3" borderId="6" xfId="1" applyNumberFormat="1" applyFont="1" applyFill="1" applyBorder="1" applyAlignment="1">
      <alignment horizontal="center" vertical="center"/>
    </xf>
    <xf numFmtId="164" fontId="0" fillId="3" borderId="19" xfId="1" applyNumberFormat="1" applyFont="1" applyFill="1" applyBorder="1" applyAlignment="1">
      <alignment horizontal="center" vertical="center"/>
    </xf>
    <xf numFmtId="164" fontId="0" fillId="0" borderId="20" xfId="1" applyNumberFormat="1" applyFont="1" applyFill="1" applyBorder="1" applyAlignment="1">
      <alignment horizontal="center" vertical="center"/>
    </xf>
    <xf numFmtId="5" fontId="5" fillId="3" borderId="6" xfId="1" applyNumberFormat="1" applyFont="1" applyFill="1" applyBorder="1" applyAlignment="1">
      <alignment horizontal="left" vertical="top" wrapText="1"/>
    </xf>
    <xf numFmtId="0" fontId="3" fillId="0" borderId="4" xfId="0" applyNumberFormat="1" applyFont="1" applyBorder="1" applyAlignment="1">
      <alignment horizontal="center" vertical="center" wrapText="1"/>
    </xf>
    <xf numFmtId="164" fontId="0" fillId="0" borderId="4" xfId="1" applyNumberFormat="1" applyFont="1" applyFill="1" applyBorder="1" applyAlignment="1">
      <alignment horizontal="center" vertical="center"/>
    </xf>
    <xf numFmtId="0" fontId="0" fillId="11" borderId="4" xfId="0" applyFill="1" applyBorder="1"/>
    <xf numFmtId="0" fontId="0" fillId="4" borderId="4" xfId="0" applyNumberFormat="1" applyFill="1" applyBorder="1"/>
    <xf numFmtId="0" fontId="11" fillId="0" borderId="3" xfId="0" applyNumberFormat="1" applyFont="1" applyBorder="1" applyAlignment="1">
      <alignment horizontal="left" vertical="top" wrapText="1"/>
    </xf>
    <xf numFmtId="0" fontId="11" fillId="8" borderId="7" xfId="0" applyNumberFormat="1" applyFont="1" applyFill="1" applyBorder="1" applyAlignment="1">
      <alignment horizontal="left" vertical="top" wrapText="1"/>
    </xf>
    <xf numFmtId="0" fontId="12" fillId="0" borderId="4" xfId="9" applyNumberFormat="1" applyBorder="1" applyAlignment="1">
      <alignment horizontal="left" vertical="top" wrapText="1"/>
    </xf>
    <xf numFmtId="0" fontId="3" fillId="0" borderId="0" xfId="0" applyNumberFormat="1" applyFont="1" applyFill="1" applyAlignment="1">
      <alignment vertical="center"/>
    </xf>
    <xf numFmtId="0" fontId="0" fillId="7" borderId="0" xfId="0" applyFill="1"/>
    <xf numFmtId="0" fontId="0" fillId="0" borderId="0" xfId="0" applyFill="1"/>
    <xf numFmtId="0" fontId="5" fillId="7" borderId="0" xfId="0" applyNumberFormat="1" applyFont="1" applyFill="1" applyAlignment="1">
      <alignment vertical="top"/>
    </xf>
    <xf numFmtId="0" fontId="5" fillId="0" borderId="0" xfId="0" applyNumberFormat="1" applyFont="1" applyAlignment="1">
      <alignment vertical="top"/>
    </xf>
    <xf numFmtId="0" fontId="5" fillId="0" borderId="0" xfId="0" applyFont="1"/>
    <xf numFmtId="0" fontId="0" fillId="0" borderId="4" xfId="0" applyBorder="1" applyAlignment="1"/>
    <xf numFmtId="0" fontId="25" fillId="0" borderId="4" xfId="0" applyNumberFormat="1" applyFont="1" applyFill="1" applyBorder="1" applyAlignment="1">
      <alignment horizontal="left" vertical="center"/>
    </xf>
    <xf numFmtId="0" fontId="25" fillId="0" borderId="4" xfId="0" applyFont="1" applyFill="1" applyBorder="1" applyAlignment="1">
      <alignment horizontal="left"/>
    </xf>
    <xf numFmtId="0" fontId="25" fillId="0" borderId="4" xfId="0" applyNumberFormat="1" applyFont="1" applyFill="1" applyBorder="1" applyAlignment="1">
      <alignment horizontal="left" vertical="center" wrapText="1"/>
    </xf>
    <xf numFmtId="0" fontId="5" fillId="6" borderId="0" xfId="0" applyFont="1" applyFill="1" applyAlignment="1">
      <alignment horizontal="left" vertical="top" wrapText="1"/>
    </xf>
    <xf numFmtId="0" fontId="11" fillId="0" borderId="10" xfId="0" applyNumberFormat="1" applyFont="1" applyBorder="1" applyAlignment="1">
      <alignment horizontal="left" vertical="top" wrapText="1"/>
    </xf>
    <xf numFmtId="0" fontId="11" fillId="0" borderId="3" xfId="0" applyNumberFormat="1" applyFont="1" applyBorder="1" applyAlignment="1">
      <alignment horizontal="left" vertical="top" wrapText="1"/>
    </xf>
    <xf numFmtId="0" fontId="11" fillId="0" borderId="6" xfId="0" applyNumberFormat="1" applyFont="1" applyBorder="1" applyAlignment="1">
      <alignment horizontal="left" vertical="top" wrapText="1"/>
    </xf>
    <xf numFmtId="0" fontId="11" fillId="0" borderId="16" xfId="0" applyNumberFormat="1" applyFont="1" applyBorder="1" applyAlignment="1">
      <alignment horizontal="left" vertical="top" wrapText="1"/>
    </xf>
    <xf numFmtId="0" fontId="11" fillId="8" borderId="5" xfId="0" applyNumberFormat="1" applyFont="1" applyFill="1" applyBorder="1" applyAlignment="1">
      <alignment horizontal="left" vertical="top" wrapText="1"/>
    </xf>
    <xf numFmtId="0" fontId="11" fillId="8" borderId="17" xfId="0" applyNumberFormat="1" applyFont="1" applyFill="1" applyBorder="1" applyAlignment="1">
      <alignment horizontal="left" vertical="top" wrapText="1"/>
    </xf>
    <xf numFmtId="0" fontId="11" fillId="8" borderId="7" xfId="0" applyNumberFormat="1" applyFont="1" applyFill="1" applyBorder="1" applyAlignment="1">
      <alignment horizontal="left" vertical="top" wrapText="1"/>
    </xf>
    <xf numFmtId="0" fontId="11" fillId="14" borderId="7" xfId="0" applyNumberFormat="1" applyFont="1" applyFill="1" applyBorder="1" applyAlignment="1">
      <alignment horizontal="left" vertical="top" wrapText="1"/>
    </xf>
    <xf numFmtId="0" fontId="3" fillId="8" borderId="5" xfId="0" applyNumberFormat="1" applyFont="1" applyFill="1" applyBorder="1" applyAlignment="1"/>
    <xf numFmtId="0" fontId="3" fillId="8" borderId="17" xfId="0" applyNumberFormat="1" applyFont="1" applyFill="1" applyBorder="1" applyAlignment="1"/>
    <xf numFmtId="0" fontId="3" fillId="8" borderId="7" xfId="0" applyNumberFormat="1" applyFont="1" applyFill="1" applyBorder="1" applyAlignment="1"/>
    <xf numFmtId="0" fontId="3" fillId="9" borderId="7" xfId="0" applyNumberFormat="1" applyFont="1" applyFill="1" applyBorder="1" applyAlignment="1">
      <alignment horizontal="center" vertical="center"/>
    </xf>
    <xf numFmtId="0" fontId="3" fillId="0" borderId="6"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10"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23" fillId="8" borderId="5" xfId="6" applyNumberFormat="1" applyFont="1" applyFill="1" applyBorder="1" applyAlignment="1"/>
    <xf numFmtId="0" fontId="23" fillId="8" borderId="17" xfId="6" applyNumberFormat="1" applyFont="1" applyFill="1" applyBorder="1" applyAlignment="1"/>
    <xf numFmtId="0" fontId="23" fillId="8" borderId="7" xfId="6" applyNumberFormat="1" applyFont="1" applyFill="1" applyBorder="1" applyAlignment="1"/>
    <xf numFmtId="0" fontId="23" fillId="9" borderId="7" xfId="6" applyNumberFormat="1" applyFont="1" applyFill="1" applyBorder="1" applyAlignment="1">
      <alignment horizontal="center" vertical="center"/>
    </xf>
    <xf numFmtId="0" fontId="11" fillId="8" borderId="26" xfId="0" applyNumberFormat="1" applyFont="1" applyFill="1" applyBorder="1" applyAlignment="1">
      <alignment horizontal="left" vertical="top" wrapText="1"/>
    </xf>
    <xf numFmtId="0" fontId="11" fillId="8" borderId="25" xfId="0" applyNumberFormat="1" applyFont="1" applyFill="1" applyBorder="1" applyAlignment="1">
      <alignment horizontal="left" vertical="top" wrapText="1"/>
    </xf>
    <xf numFmtId="0" fontId="11" fillId="14" borderId="24" xfId="0" applyNumberFormat="1" applyFont="1" applyFill="1" applyBorder="1" applyAlignment="1">
      <alignment horizontal="left" vertical="top" wrapText="1"/>
    </xf>
    <xf numFmtId="0" fontId="11" fillId="14" borderId="25" xfId="0" applyNumberFormat="1" applyFont="1" applyFill="1" applyBorder="1" applyAlignment="1">
      <alignment horizontal="left" vertical="top" wrapText="1"/>
    </xf>
    <xf numFmtId="0" fontId="11" fillId="14" borderId="17" xfId="0" applyNumberFormat="1" applyFont="1" applyFill="1" applyBorder="1" applyAlignment="1">
      <alignment horizontal="left" vertical="top" wrapText="1"/>
    </xf>
    <xf numFmtId="0" fontId="11" fillId="0" borderId="23" xfId="0" applyNumberFormat="1" applyFont="1" applyBorder="1" applyAlignment="1">
      <alignment horizontal="left" vertical="top" wrapText="1"/>
    </xf>
    <xf numFmtId="0" fontId="11" fillId="0" borderId="8" xfId="0" applyNumberFormat="1" applyFont="1" applyBorder="1" applyAlignment="1">
      <alignment horizontal="left" vertical="top" wrapText="1"/>
    </xf>
  </cellXfs>
  <cellStyles count="10">
    <cellStyle name="Currency" xfId="1" builtinId="4"/>
    <cellStyle name="Currency 2" xfId="7"/>
    <cellStyle name="Followed Hyperlink" xfId="5" builtinId="9" hidden="1"/>
    <cellStyle name="Good" xfId="3" builtinId="26"/>
    <cellStyle name="Hyperlink" xfId="4" builtinId="8" hidden="1"/>
    <cellStyle name="Hyperlink" xfId="9" builtinId="8"/>
    <cellStyle name="Normal" xfId="0" builtinId="0"/>
    <cellStyle name="Normal 2" xfId="6"/>
    <cellStyle name="Percent" xfId="2" builtinId="5"/>
    <cellStyle name="Percent 2" xfId="8"/>
  </cellStyles>
  <dxfs count="296">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29"/>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29"/>
        </patternFill>
      </fill>
    </dxf>
  </dxfs>
  <tableStyles count="0" defaultTableStyle="TableStyleMedium9" defaultPivotStyle="PivotStyleMedium4"/>
  <colors>
    <mruColors>
      <color rgb="FF66FF33"/>
      <color rgb="FFFF99FF"/>
      <color rgb="FFFFFF0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Risk Categories</a:t>
            </a:r>
          </a:p>
        </c:rich>
      </c:tx>
      <c:overlay val="0"/>
    </c:title>
    <c:autoTitleDeleted val="0"/>
    <c:plotArea>
      <c:layout/>
      <c:barChart>
        <c:barDir val="col"/>
        <c:grouping val="clustered"/>
        <c:varyColors val="1"/>
        <c:ser>
          <c:idx val="0"/>
          <c:order val="0"/>
          <c:spPr>
            <a:effectLst>
              <a:outerShdw blurRad="40000" dist="175387" dir="3660000" rotWithShape="0">
                <a:srgbClr val="000000">
                  <a:alpha val="35000"/>
                </a:srgbClr>
              </a:outerShdw>
            </a:effectLst>
          </c:spPr>
          <c:invertIfNegative val="0"/>
          <c:cat>
            <c:strRef>
              <c:f>Chart!$A$2:$A$6</c:f>
              <c:strCache>
                <c:ptCount val="5"/>
                <c:pt idx="0">
                  <c:v>Low</c:v>
                </c:pt>
                <c:pt idx="1">
                  <c:v>Medium</c:v>
                </c:pt>
                <c:pt idx="2">
                  <c:v>High</c:v>
                </c:pt>
                <c:pt idx="3">
                  <c:v>Retired</c:v>
                </c:pt>
                <c:pt idx="4">
                  <c:v>Realized Opportunities</c:v>
                </c:pt>
              </c:strCache>
            </c:strRef>
          </c:cat>
          <c:val>
            <c:numRef>
              <c:f>Chart!$B$2:$B$6</c:f>
              <c:numCache>
                <c:formatCode>General</c:formatCode>
                <c:ptCount val="5"/>
                <c:pt idx="0">
                  <c:v>30</c:v>
                </c:pt>
                <c:pt idx="1">
                  <c:v>25</c:v>
                </c:pt>
                <c:pt idx="2">
                  <c:v>13</c:v>
                </c:pt>
                <c:pt idx="3">
                  <c:v>36</c:v>
                </c:pt>
                <c:pt idx="4">
                  <c:v>8</c:v>
                </c:pt>
              </c:numCache>
            </c:numRef>
          </c:val>
        </c:ser>
        <c:dLbls>
          <c:showLegendKey val="0"/>
          <c:showVal val="0"/>
          <c:showCatName val="0"/>
          <c:showSerName val="0"/>
          <c:showPercent val="0"/>
          <c:showBubbleSize val="0"/>
        </c:dLbls>
        <c:gapWidth val="150"/>
        <c:axId val="248779088"/>
        <c:axId val="248779872"/>
      </c:barChart>
      <c:catAx>
        <c:axId val="248779088"/>
        <c:scaling>
          <c:orientation val="minMax"/>
        </c:scaling>
        <c:delete val="0"/>
        <c:axPos val="b"/>
        <c:numFmt formatCode="General" sourceLinked="0"/>
        <c:majorTickMark val="out"/>
        <c:minorTickMark val="none"/>
        <c:tickLblPos val="nextTo"/>
        <c:txPr>
          <a:bodyPr/>
          <a:lstStyle/>
          <a:p>
            <a:pPr>
              <a:defRPr sz="1400"/>
            </a:pPr>
            <a:endParaRPr lang="en-US"/>
          </a:p>
        </c:txPr>
        <c:crossAx val="248779872"/>
        <c:crosses val="autoZero"/>
        <c:auto val="1"/>
        <c:lblAlgn val="ctr"/>
        <c:lblOffset val="100"/>
        <c:noMultiLvlLbl val="0"/>
      </c:catAx>
      <c:valAx>
        <c:axId val="248779872"/>
        <c:scaling>
          <c:orientation val="minMax"/>
        </c:scaling>
        <c:delete val="0"/>
        <c:axPos val="l"/>
        <c:majorGridlines/>
        <c:numFmt formatCode="General" sourceLinked="1"/>
        <c:majorTickMark val="out"/>
        <c:minorTickMark val="none"/>
        <c:tickLblPos val="nextTo"/>
        <c:crossAx val="248779088"/>
        <c:crosses val="autoZero"/>
        <c:crossBetween val="between"/>
      </c:valAx>
    </c:plotArea>
    <c:plotVisOnly val="1"/>
    <c:dispBlanksAs val="gap"/>
    <c:showDLblsOverMax val="0"/>
  </c:chart>
  <c:spPr>
    <a:ln>
      <a:solidFill>
        <a:schemeClr val="tx1"/>
      </a:solidFill>
    </a:ln>
    <a:effectLst>
      <a:outerShdw blurRad="50800" dist="165100" dir="2700000" algn="tl" rotWithShape="0">
        <a:srgbClr val="000000">
          <a:alpha val="43000"/>
        </a:srgbClr>
      </a:outerShdw>
    </a:effectLst>
  </c:spPr>
  <c:printSettings>
    <c:headerFooter/>
    <c:pageMargins b="1" l="0.75" r="0.75" t="1" header="0.5" footer="0.5"/>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89</xdr:row>
      <xdr:rowOff>0</xdr:rowOff>
    </xdr:from>
    <xdr:to>
      <xdr:col>6</xdr:col>
      <xdr:colOff>304800</xdr:colOff>
      <xdr:row>90</xdr:row>
      <xdr:rowOff>75910</xdr:rowOff>
    </xdr:to>
    <xdr:sp macro="" textlink="">
      <xdr:nvSpPr>
        <xdr:cNvPr id="1028" name="AutoShape 4" descr="https://email.fnal.gov/owa/attachment.ashx?id=RgAAAACcuh2M7piaRKLYfPOHm%2fDSBwC%2bSSraxqixRpNFVBm8wg8LAAAAiA1tAAC%2bSSraxqixRpNFVBm8wg8LAAADfynMAAAJ&amp;attcnt=1&amp;attid0=BAAAAAAA&amp;attcid0=7c094cd8-4e1b-43d4-a79d-629b661b5f20%40services.fnal.gov"/>
        <xdr:cNvSpPr>
          <a:spLocks noChangeAspect="1" noChangeArrowheads="1"/>
        </xdr:cNvSpPr>
      </xdr:nvSpPr>
      <xdr:spPr bwMode="auto">
        <a:xfrm>
          <a:off x="8248650" y="595407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18</xdr:row>
      <xdr:rowOff>0</xdr:rowOff>
    </xdr:from>
    <xdr:to>
      <xdr:col>6</xdr:col>
      <xdr:colOff>304800</xdr:colOff>
      <xdr:row>19</xdr:row>
      <xdr:rowOff>333375</xdr:rowOff>
    </xdr:to>
    <xdr:sp macro="" textlink="">
      <xdr:nvSpPr>
        <xdr:cNvPr id="4" name="AutoShape 4" descr="https://email.fnal.gov/owa/attachment.ashx?id=RgAAAACcuh2M7piaRKLYfPOHm%2fDSBwC%2bSSraxqixRpNFVBm8wg8LAAAAiA1tAAC%2bSSraxqixRpNFVBm8wg8LAAADfynMAAAJ&amp;attcnt=1&amp;attid0=BAAAAAAA&amp;attcid0=7c094cd8-4e1b-43d4-a79d-629b661b5f20%40services.fnal.gov"/>
        <xdr:cNvSpPr>
          <a:spLocks noChangeAspect="1" noChangeArrowheads="1"/>
        </xdr:cNvSpPr>
      </xdr:nvSpPr>
      <xdr:spPr bwMode="auto">
        <a:xfrm>
          <a:off x="8248650" y="19250025"/>
          <a:ext cx="304800" cy="3079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89</xdr:row>
      <xdr:rowOff>0</xdr:rowOff>
    </xdr:from>
    <xdr:to>
      <xdr:col>22</xdr:col>
      <xdr:colOff>304800</xdr:colOff>
      <xdr:row>90</xdr:row>
      <xdr:rowOff>104485</xdr:rowOff>
    </xdr:to>
    <xdr:sp macro="" textlink="">
      <xdr:nvSpPr>
        <xdr:cNvPr id="2" name="AutoShape 4" descr="https://email.fnal.gov/owa/attachment.ashx?id=RgAAAACcuh2M7piaRKLYfPOHm%2fDSBwC%2bSSraxqixRpNFVBm8wg8LAAAAiA1tAAC%2bSSraxqixRpNFVBm8wg8LAAADfynMAAAJ&amp;attcnt=1&amp;attid0=BAAAAAAA&amp;attcid0=7c094cd8-4e1b-43d4-a79d-629b661b5f20%40services.fnal.gov"/>
        <xdr:cNvSpPr>
          <a:spLocks noChangeAspect="1" noChangeArrowheads="1"/>
        </xdr:cNvSpPr>
      </xdr:nvSpPr>
      <xdr:spPr bwMode="auto">
        <a:xfrm>
          <a:off x="6038850" y="40614600"/>
          <a:ext cx="304800" cy="29498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18</xdr:row>
      <xdr:rowOff>0</xdr:rowOff>
    </xdr:from>
    <xdr:to>
      <xdr:col>22</xdr:col>
      <xdr:colOff>304800</xdr:colOff>
      <xdr:row>19</xdr:row>
      <xdr:rowOff>190500</xdr:rowOff>
    </xdr:to>
    <xdr:sp macro="" textlink="">
      <xdr:nvSpPr>
        <xdr:cNvPr id="3" name="AutoShape 4" descr="https://email.fnal.gov/owa/attachment.ashx?id=RgAAAACcuh2M7piaRKLYfPOHm%2fDSBwC%2bSSraxqixRpNFVBm8wg8LAAAAiA1tAAC%2bSSraxqixRpNFVBm8wg8LAAADfynMAAAJ&amp;attcnt=1&amp;attid0=BAAAAAAA&amp;attcid0=7c094cd8-4e1b-43d4-a79d-629b661b5f20%40services.fnal.gov"/>
        <xdr:cNvSpPr>
          <a:spLocks noChangeAspect="1" noChangeArrowheads="1"/>
        </xdr:cNvSpPr>
      </xdr:nvSpPr>
      <xdr:spPr bwMode="auto">
        <a:xfrm>
          <a:off x="6038850" y="8610600"/>
          <a:ext cx="304800" cy="7143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128</xdr:row>
      <xdr:rowOff>0</xdr:rowOff>
    </xdr:from>
    <xdr:to>
      <xdr:col>6</xdr:col>
      <xdr:colOff>304800</xdr:colOff>
      <xdr:row>128</xdr:row>
      <xdr:rowOff>307975</xdr:rowOff>
    </xdr:to>
    <xdr:sp macro="" textlink="">
      <xdr:nvSpPr>
        <xdr:cNvPr id="2" name="AutoShape 4" descr="https://email.fnal.gov/owa/attachment.ashx?id=RgAAAACcuh2M7piaRKLYfPOHm%2fDSBwC%2bSSraxqixRpNFVBm8wg8LAAAAiA1tAAC%2bSSraxqixRpNFVBm8wg8LAAADfynMAAAJ&amp;attcnt=1&amp;attid0=BAAAAAAA&amp;attcid0=7c094cd8-4e1b-43d4-a79d-629b661b5f20%40services.fnal.gov"/>
        <xdr:cNvSpPr>
          <a:spLocks noChangeAspect="1" noChangeArrowheads="1"/>
        </xdr:cNvSpPr>
      </xdr:nvSpPr>
      <xdr:spPr bwMode="auto">
        <a:xfrm>
          <a:off x="8248650" y="637127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oneCellAnchor>
    <xdr:from>
      <xdr:col>6</xdr:col>
      <xdr:colOff>0</xdr:colOff>
      <xdr:row>129</xdr:row>
      <xdr:rowOff>0</xdr:rowOff>
    </xdr:from>
    <xdr:ext cx="304800" cy="307975"/>
    <xdr:sp macro="" textlink="">
      <xdr:nvSpPr>
        <xdr:cNvPr id="5" name="AutoShape 4" descr="https://email.fnal.gov/owa/attachment.ashx?id=RgAAAACcuh2M7piaRKLYfPOHm%2fDSBwC%2bSSraxqixRpNFVBm8wg8LAAAAiA1tAAC%2bSSraxqixRpNFVBm8wg8LAAADfynMAAAJ&amp;attcnt=1&amp;attid0=BAAAAAAA&amp;attcid0=7c094cd8-4e1b-43d4-a79d-629b661b5f20%40services.fnal.gov"/>
        <xdr:cNvSpPr>
          <a:spLocks noChangeAspect="1" noChangeArrowheads="1"/>
        </xdr:cNvSpPr>
      </xdr:nvSpPr>
      <xdr:spPr bwMode="auto">
        <a:xfrm>
          <a:off x="8255000" y="19259550"/>
          <a:ext cx="304800" cy="307975"/>
        </a:xfrm>
        <a:prstGeom prst="rect">
          <a:avLst/>
        </a:prstGeom>
        <a:noFill/>
        <a:extLst>
          <a:ext uri="{909E8E84-426E-40dd-AFC4-6F175D3DCCD1}">
            <a14:hiddenFill xmlns=""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128</xdr:row>
      <xdr:rowOff>0</xdr:rowOff>
    </xdr:from>
    <xdr:to>
      <xdr:col>6</xdr:col>
      <xdr:colOff>304800</xdr:colOff>
      <xdr:row>129</xdr:row>
      <xdr:rowOff>47625</xdr:rowOff>
    </xdr:to>
    <xdr:sp macro="" textlink="">
      <xdr:nvSpPr>
        <xdr:cNvPr id="2" name="AutoShape 4" descr="https://email.fnal.gov/owa/attachment.ashx?id=RgAAAACcuh2M7piaRKLYfPOHm%2fDSBwC%2bSSraxqixRpNFVBm8wg8LAAAAiA1tAAC%2bSSraxqixRpNFVBm8wg8LAAADfynMAAAJ&amp;attcnt=1&amp;attid0=BAAAAAAA&amp;attcid0=7c094cd8-4e1b-43d4-a79d-629b661b5f20%40services.fnal.gov"/>
        <xdr:cNvSpPr>
          <a:spLocks noChangeAspect="1" noChangeArrowheads="1"/>
        </xdr:cNvSpPr>
      </xdr:nvSpPr>
      <xdr:spPr bwMode="auto">
        <a:xfrm>
          <a:off x="8248650" y="2174557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12700</xdr:colOff>
      <xdr:row>2</xdr:row>
      <xdr:rowOff>165100</xdr:rowOff>
    </xdr:from>
    <xdr:to>
      <xdr:col>15</xdr:col>
      <xdr:colOff>762000</xdr:colOff>
      <xdr:row>26</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mu2e-docdb.fnal.gov:8080/cgi-bin/ShowDocument?docid=3834" TargetMode="External"/><Relationship Id="rId13" Type="http://schemas.openxmlformats.org/officeDocument/2006/relationships/hyperlink" Target="http://mu2e-docdb.fnal.gov:8080/cgi-bin/ShowDocument?docid=3383" TargetMode="External"/><Relationship Id="rId18" Type="http://schemas.openxmlformats.org/officeDocument/2006/relationships/hyperlink" Target="http://mu2e-docdb.fnal.gov:8080/cgi-bin/ShowDocument?docid=4444" TargetMode="External"/><Relationship Id="rId26" Type="http://schemas.openxmlformats.org/officeDocument/2006/relationships/hyperlink" Target="http://mu2e-docdb.fnal.gov:8080/cgi-bin/ShowDocument?docid=4263" TargetMode="External"/><Relationship Id="rId3" Type="http://schemas.openxmlformats.org/officeDocument/2006/relationships/hyperlink" Target="http://mu2e-docdb.fnal.gov:8080/cgi-bin/ShowDocument?docid=4589" TargetMode="External"/><Relationship Id="rId21" Type="http://schemas.openxmlformats.org/officeDocument/2006/relationships/hyperlink" Target="http://mu2e-docdb.fnal.gov:8080/cgi-bin/ShowDocument?docid=3398" TargetMode="External"/><Relationship Id="rId7" Type="http://schemas.openxmlformats.org/officeDocument/2006/relationships/hyperlink" Target="http://mu2e-docdb.fnal.gov:8080/cgi-bin/ShowDocument?docid=4593" TargetMode="External"/><Relationship Id="rId12" Type="http://schemas.openxmlformats.org/officeDocument/2006/relationships/hyperlink" Target="http://mu2e-docdb.fnal.gov:8080/cgi-bin/ShowDocument?docid=3382" TargetMode="External"/><Relationship Id="rId17" Type="http://schemas.openxmlformats.org/officeDocument/2006/relationships/hyperlink" Target="http://mu2e-docdb.fnal.gov:8080/cgi-bin/ShowDocument?docid=5038" TargetMode="External"/><Relationship Id="rId25" Type="http://schemas.openxmlformats.org/officeDocument/2006/relationships/hyperlink" Target="http://mu2e-docdb.fnal.gov:8080/cgi-bin/ShowDocument?docid=4259" TargetMode="External"/><Relationship Id="rId2" Type="http://schemas.openxmlformats.org/officeDocument/2006/relationships/hyperlink" Target="http://mu2e-docdb.fnal.gov:8080/cgi-bin/ShowDocument?docid=3333" TargetMode="External"/><Relationship Id="rId16" Type="http://schemas.openxmlformats.org/officeDocument/2006/relationships/hyperlink" Target="http://mu2e-docdb.fnal.gov:8080/cgi-bin/ShowDocument?docid=4445" TargetMode="External"/><Relationship Id="rId20" Type="http://schemas.openxmlformats.org/officeDocument/2006/relationships/hyperlink" Target="http://mu2e-docdb.fnal.gov:8080/cgi-bin/ShowDocument?docid=3397" TargetMode="External"/><Relationship Id="rId1" Type="http://schemas.openxmlformats.org/officeDocument/2006/relationships/hyperlink" Target="http://mu2e-docdb.fnal.gov:8080/cgi-bin/ShowDocument?docid=3328" TargetMode="External"/><Relationship Id="rId6" Type="http://schemas.openxmlformats.org/officeDocument/2006/relationships/hyperlink" Target="http://mu2e-docdb.fnal.gov:8080/cgi-bin/ShowDocument?docid=4592" TargetMode="External"/><Relationship Id="rId11" Type="http://schemas.openxmlformats.org/officeDocument/2006/relationships/hyperlink" Target="http://mu2e-docdb.fnal.gov:8080/cgi-bin/ShowDocument?docid=3392" TargetMode="External"/><Relationship Id="rId24" Type="http://schemas.openxmlformats.org/officeDocument/2006/relationships/hyperlink" Target="http://mu2e-docdb.fnal.gov:8080/cgi-bin/ShowDocument?docid=4260" TargetMode="External"/><Relationship Id="rId5" Type="http://schemas.openxmlformats.org/officeDocument/2006/relationships/hyperlink" Target="http://mu2e-docdb.fnal.gov:8080/cgi-bin/ShowDocument?docid=4591" TargetMode="External"/><Relationship Id="rId15" Type="http://schemas.openxmlformats.org/officeDocument/2006/relationships/hyperlink" Target="http://mu2e-docdb.fnal.gov:8080/cgi-bin/ShowDocument?docid=3385" TargetMode="External"/><Relationship Id="rId23" Type="http://schemas.openxmlformats.org/officeDocument/2006/relationships/hyperlink" Target="http://mu2e-docdb.fnal.gov:8080/cgi-bin/ShowDocument?docid=3402" TargetMode="External"/><Relationship Id="rId28" Type="http://schemas.openxmlformats.org/officeDocument/2006/relationships/comments" Target="../comments3.xml"/><Relationship Id="rId10" Type="http://schemas.openxmlformats.org/officeDocument/2006/relationships/hyperlink" Target="http://mu2e-docdb.fnal.gov:8080/cgi-bin/ShowDocument?docid=3954" TargetMode="External"/><Relationship Id="rId19" Type="http://schemas.openxmlformats.org/officeDocument/2006/relationships/hyperlink" Target="http://mu2e-docdb.fnal.gov:8080/cgi-bin/ShowDocument?docid=4447" TargetMode="External"/><Relationship Id="rId4" Type="http://schemas.openxmlformats.org/officeDocument/2006/relationships/hyperlink" Target="http://mu2e-docdb.fnal.gov:8080/cgi-bin/ShowDocument?docid=4590" TargetMode="External"/><Relationship Id="rId9" Type="http://schemas.openxmlformats.org/officeDocument/2006/relationships/hyperlink" Target="http://mu2e-docdb.fnal.gov:8080/cgi-bin/ShowDocument?docid=3350" TargetMode="External"/><Relationship Id="rId14" Type="http://schemas.openxmlformats.org/officeDocument/2006/relationships/hyperlink" Target="http://mu2e-docdb.fnal.gov:8080/cgi-bin/ShowDocument?docid=3390" TargetMode="External"/><Relationship Id="rId22" Type="http://schemas.openxmlformats.org/officeDocument/2006/relationships/hyperlink" Target="http://mu2e-docdb.fnal.gov:8080/cgi-bin/ShowDocument?docid=3399" TargetMode="External"/><Relationship Id="rId27"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3" Type="http://schemas.openxmlformats.org/officeDocument/2006/relationships/hyperlink" Target="http://lbne2-docdb.fnal.gov:8080/cgi-bin/ShowDocument?docid=6347" TargetMode="External"/><Relationship Id="rId7" Type="http://schemas.openxmlformats.org/officeDocument/2006/relationships/hyperlink" Target="http://lbne2-docdb.fnal.gov:8080/cgi-bin/ShowDocument?docid=4853" TargetMode="External"/><Relationship Id="rId2" Type="http://schemas.openxmlformats.org/officeDocument/2006/relationships/hyperlink" Target="http://lbne2-docdb.fnal.gov:8080/cgi-bin/ShowDocument?docid=4848" TargetMode="External"/><Relationship Id="rId1" Type="http://schemas.openxmlformats.org/officeDocument/2006/relationships/hyperlink" Target="http://lbne2-docdb.fnal.gov:8080/cgi-bin/ShowDocument?docid=4847" TargetMode="External"/><Relationship Id="rId6" Type="http://schemas.openxmlformats.org/officeDocument/2006/relationships/hyperlink" Target="http://lbne2-docdb.fnal.gov:8080/cgi-bin/ShowDocument?docid=9205" TargetMode="External"/><Relationship Id="rId5" Type="http://schemas.openxmlformats.org/officeDocument/2006/relationships/hyperlink" Target="http://lbne2-docdb.fnal.gov:8080/cgi-bin/ShowDocument?docid=9203" TargetMode="External"/><Relationship Id="rId4" Type="http://schemas.openxmlformats.org/officeDocument/2006/relationships/hyperlink" Target="http://lbne2-docdb.fnal.gov:8080/cgi-bin/ShowDocument?docid=9204"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mu2e-docdb.fnal.gov:8080/cgi-bin/ShowDocument?docid=3757" TargetMode="External"/><Relationship Id="rId18" Type="http://schemas.openxmlformats.org/officeDocument/2006/relationships/hyperlink" Target="http://mu2e-docdb.fnal.gov:8080/cgi-bin/ShowDocument?docid=3837" TargetMode="External"/><Relationship Id="rId26" Type="http://schemas.openxmlformats.org/officeDocument/2006/relationships/hyperlink" Target="http://mu2e-docdb.fnal.gov:8080/cgi-bin/ShowDocument?docid=3400" TargetMode="External"/><Relationship Id="rId39" Type="http://schemas.openxmlformats.org/officeDocument/2006/relationships/hyperlink" Target="http://mu2e-docdb.fnal.gov:8080/cgi-bin/ShowDocument?docid=4444" TargetMode="External"/><Relationship Id="rId21" Type="http://schemas.openxmlformats.org/officeDocument/2006/relationships/hyperlink" Target="http://mu2e-docdb.fnal.gov:8080/cgi-bin/ShowDocument?docid=3395" TargetMode="External"/><Relationship Id="rId34" Type="http://schemas.openxmlformats.org/officeDocument/2006/relationships/hyperlink" Target="http://mu2e-docdb.fnal.gov:8080/cgi-bin/ShowDocument?docid=4199" TargetMode="External"/><Relationship Id="rId42" Type="http://schemas.openxmlformats.org/officeDocument/2006/relationships/hyperlink" Target="http://mu2e-docdb.fnal.gov:8080/cgi-bin/ShowDocument?docid=4447" TargetMode="External"/><Relationship Id="rId47" Type="http://schemas.openxmlformats.org/officeDocument/2006/relationships/hyperlink" Target="http://mu2e-docdb.fnal.gov:8080/cgi-bin/ShowDocument?docid=4558" TargetMode="External"/><Relationship Id="rId50" Type="http://schemas.openxmlformats.org/officeDocument/2006/relationships/hyperlink" Target="http://mu2e-docdb.fnal.gov:8080/cgi-bin/ShowDocument?docid=4561" TargetMode="External"/><Relationship Id="rId55" Type="http://schemas.openxmlformats.org/officeDocument/2006/relationships/hyperlink" Target="http://mu2e-docdb.fnal.gov:8080/cgi-bin/ShowDocument?docid=4566" TargetMode="External"/><Relationship Id="rId63" Type="http://schemas.openxmlformats.org/officeDocument/2006/relationships/hyperlink" Target="http://mu2e-docdb.fnal.gov:8080/cgi-bin/ShowDocument?docid=4574" TargetMode="External"/><Relationship Id="rId68" Type="http://schemas.openxmlformats.org/officeDocument/2006/relationships/hyperlink" Target="http://mu2e-docdb.fnal.gov:8080/cgi-bin/ShowDocument?docid=4579" TargetMode="External"/><Relationship Id="rId76" Type="http://schemas.openxmlformats.org/officeDocument/2006/relationships/hyperlink" Target="http://mu2e-docdb.fnal.gov:8080/cgi-bin/ShowDocument?docid=4591" TargetMode="External"/><Relationship Id="rId7" Type="http://schemas.openxmlformats.org/officeDocument/2006/relationships/hyperlink" Target="http://mu2e-docdb.fnal.gov:8080/cgi-bin/ShowDocument?docid=3360" TargetMode="External"/><Relationship Id="rId71" Type="http://schemas.openxmlformats.org/officeDocument/2006/relationships/hyperlink" Target="http://mu2e-docdb.fnal.gov:8080/cgi-bin/ShowDocument?docid=4582" TargetMode="External"/><Relationship Id="rId2" Type="http://schemas.openxmlformats.org/officeDocument/2006/relationships/hyperlink" Target="http://mu2e-docdb.fnal.gov:8080/cgi-bin/ShowDocument?docid=3331" TargetMode="External"/><Relationship Id="rId16" Type="http://schemas.openxmlformats.org/officeDocument/2006/relationships/hyperlink" Target="http://mu2e-docdb.fnal.gov:8080/cgi-bin/ShowDocument?docid=3368" TargetMode="External"/><Relationship Id="rId29" Type="http://schemas.openxmlformats.org/officeDocument/2006/relationships/hyperlink" Target="http://mu2e-docdb.fnal.gov:8080/cgi-bin/ShowDocument?docid=4260" TargetMode="External"/><Relationship Id="rId11" Type="http://schemas.openxmlformats.org/officeDocument/2006/relationships/hyperlink" Target="http://mu2e-docdb.fnal.gov:8080/cgi-bin/ShowDocument?docid=3365" TargetMode="External"/><Relationship Id="rId24" Type="http://schemas.openxmlformats.org/officeDocument/2006/relationships/hyperlink" Target="http://mu2e-docdb.fnal.gov:8080/cgi-bin/ShowDocument?docid=3398" TargetMode="External"/><Relationship Id="rId32" Type="http://schemas.openxmlformats.org/officeDocument/2006/relationships/hyperlink" Target="http://mu2e-docdb.fnal.gov:8080/cgi-bin/ShowDocument?docid=4263" TargetMode="External"/><Relationship Id="rId37" Type="http://schemas.openxmlformats.org/officeDocument/2006/relationships/hyperlink" Target="http://mu2e-docdb.fnal.gov:8080/cgi-bin/ShowDocument?docid=3390" TargetMode="External"/><Relationship Id="rId40" Type="http://schemas.openxmlformats.org/officeDocument/2006/relationships/hyperlink" Target="http://mu2e-docdb.fnal.gov:8080/cgi-bin/ShowDocument?docid=3364" TargetMode="External"/><Relationship Id="rId45" Type="http://schemas.openxmlformats.org/officeDocument/2006/relationships/hyperlink" Target="http://mu2e-docdb.fnal.gov:8080/cgi-bin/ShowDocument?docid=4556" TargetMode="External"/><Relationship Id="rId53" Type="http://schemas.openxmlformats.org/officeDocument/2006/relationships/hyperlink" Target="http://mu2e-docdb.fnal.gov:8080/cgi-bin/ShowDocument?docid=4564" TargetMode="External"/><Relationship Id="rId58" Type="http://schemas.openxmlformats.org/officeDocument/2006/relationships/hyperlink" Target="http://mu2e-docdb.fnal.gov:8080/cgi-bin/ShowDocument?docid=4569" TargetMode="External"/><Relationship Id="rId66" Type="http://schemas.openxmlformats.org/officeDocument/2006/relationships/hyperlink" Target="http://mu2e-docdb.fnal.gov:8080/cgi-bin/ShowDocument?docid=4577" TargetMode="External"/><Relationship Id="rId74" Type="http://schemas.openxmlformats.org/officeDocument/2006/relationships/hyperlink" Target="http://mu2e-docdb.fnal.gov:8080/cgi-bin/ShowDocument?docid=4589" TargetMode="External"/><Relationship Id="rId79" Type="http://schemas.openxmlformats.org/officeDocument/2006/relationships/hyperlink" Target="http://mu2e-docdb.fnal.gov:8080/cgi-bin/ShowDocument?docid=6045" TargetMode="External"/><Relationship Id="rId5" Type="http://schemas.openxmlformats.org/officeDocument/2006/relationships/hyperlink" Target="http://mu2e-docdb.fnal.gov:8080/cgi-bin/ShowDocument?docid=3834" TargetMode="External"/><Relationship Id="rId61" Type="http://schemas.openxmlformats.org/officeDocument/2006/relationships/hyperlink" Target="http://mu2e-docdb.fnal.gov:8080/cgi-bin/ShowDocument?docid=4572" TargetMode="External"/><Relationship Id="rId82" Type="http://schemas.openxmlformats.org/officeDocument/2006/relationships/comments" Target="../comments1.xml"/><Relationship Id="rId10" Type="http://schemas.openxmlformats.org/officeDocument/2006/relationships/hyperlink" Target="http://mu2e-docdb.fnal.gov:8080/cgi-bin/ShowDocument?docid=3363" TargetMode="External"/><Relationship Id="rId19" Type="http://schemas.openxmlformats.org/officeDocument/2006/relationships/hyperlink" Target="http://mu2e-docdb.fnal.gov:8080/cgi-bin/ShowDocument?docid=3393" TargetMode="External"/><Relationship Id="rId31" Type="http://schemas.openxmlformats.org/officeDocument/2006/relationships/hyperlink" Target="http://mu2e-docdb.fnal.gov:8080/cgi-bin/ShowDocument?docid=4259" TargetMode="External"/><Relationship Id="rId44" Type="http://schemas.openxmlformats.org/officeDocument/2006/relationships/hyperlink" Target="http://mu2e-docdb.fnal.gov:8080/cgi-bin/ShowDocument?docid=4445" TargetMode="External"/><Relationship Id="rId52" Type="http://schemas.openxmlformats.org/officeDocument/2006/relationships/hyperlink" Target="http://mu2e-docdb.fnal.gov:8080/cgi-bin/ShowDocument?docid=4563" TargetMode="External"/><Relationship Id="rId60" Type="http://schemas.openxmlformats.org/officeDocument/2006/relationships/hyperlink" Target="http://mu2e-docdb.fnal.gov:8080/cgi-bin/ShowDocument?docid=4571" TargetMode="External"/><Relationship Id="rId65" Type="http://schemas.openxmlformats.org/officeDocument/2006/relationships/hyperlink" Target="http://mu2e-docdb.fnal.gov:8080/cgi-bin/ShowDocument?docid=4576" TargetMode="External"/><Relationship Id="rId73" Type="http://schemas.openxmlformats.org/officeDocument/2006/relationships/hyperlink" Target="http://mu2e-docdb.fnal.gov:8080/cgi-bin/ShowDocument?docid=4584" TargetMode="External"/><Relationship Id="rId78" Type="http://schemas.openxmlformats.org/officeDocument/2006/relationships/hyperlink" Target="http://mu2e-docdb.fnal.gov:8080/cgi-bin/ShowDocument?docid=4593" TargetMode="External"/><Relationship Id="rId81" Type="http://schemas.openxmlformats.org/officeDocument/2006/relationships/vmlDrawing" Target="../drawings/vmlDrawing1.vml"/><Relationship Id="rId4" Type="http://schemas.openxmlformats.org/officeDocument/2006/relationships/hyperlink" Target="http://mu2e-docdb.fnal.gov:8080/cgi-bin/ShowDocument?docid=3347" TargetMode="External"/><Relationship Id="rId9" Type="http://schemas.openxmlformats.org/officeDocument/2006/relationships/hyperlink" Target="http://mu2e-docdb.fnal.gov:8080/cgi-bin/ShowDocument?docid=3836" TargetMode="External"/><Relationship Id="rId14" Type="http://schemas.openxmlformats.org/officeDocument/2006/relationships/hyperlink" Target="http://mu2e-docdb.fnal.gov:8080/cgi-bin/ShowDocument?docid=3844" TargetMode="External"/><Relationship Id="rId22" Type="http://schemas.openxmlformats.org/officeDocument/2006/relationships/hyperlink" Target="http://mu2e-docdb.fnal.gov:8080/cgi-bin/ShowDocument?docid=3396" TargetMode="External"/><Relationship Id="rId27" Type="http://schemas.openxmlformats.org/officeDocument/2006/relationships/hyperlink" Target="http://mu2e-docdb.fnal.gov:8080/cgi-bin/ShowDocument?docid=3402" TargetMode="External"/><Relationship Id="rId30" Type="http://schemas.openxmlformats.org/officeDocument/2006/relationships/hyperlink" Target="http://mu2e-docdb.fnal.gov:8080/cgi-bin/ShowDocument?docid=4262" TargetMode="External"/><Relationship Id="rId35" Type="http://schemas.openxmlformats.org/officeDocument/2006/relationships/hyperlink" Target="http://mu2e-docdb.fnal.gov:8080/cgi-bin/ShowDocument?docid=3382" TargetMode="External"/><Relationship Id="rId43" Type="http://schemas.openxmlformats.org/officeDocument/2006/relationships/hyperlink" Target="http://mu2e-docdb.fnal.gov:8080/cgi-bin/ShowDocument?docid=4468" TargetMode="External"/><Relationship Id="rId48" Type="http://schemas.openxmlformats.org/officeDocument/2006/relationships/hyperlink" Target="http://mu2e-docdb.fnal.gov:8080/cgi-bin/ShowDocument?docid=4559" TargetMode="External"/><Relationship Id="rId56" Type="http://schemas.openxmlformats.org/officeDocument/2006/relationships/hyperlink" Target="http://mu2e-docdb.fnal.gov:8080/cgi-bin/ShowDocument?docid=4567" TargetMode="External"/><Relationship Id="rId64" Type="http://schemas.openxmlformats.org/officeDocument/2006/relationships/hyperlink" Target="http://mu2e-docdb.fnal.gov:8080/cgi-bin/ShowDocument?docid=4575" TargetMode="External"/><Relationship Id="rId69" Type="http://schemas.openxmlformats.org/officeDocument/2006/relationships/hyperlink" Target="http://mu2e-docdb.fnal.gov:8080/cgi-bin/ShowDocument?docid=4580" TargetMode="External"/><Relationship Id="rId77" Type="http://schemas.openxmlformats.org/officeDocument/2006/relationships/hyperlink" Target="http://mu2e-docdb.fnal.gov:8080/cgi-bin/ShowDocument?docid=4592" TargetMode="External"/><Relationship Id="rId8" Type="http://schemas.openxmlformats.org/officeDocument/2006/relationships/hyperlink" Target="http://mu2e-docdb.fnal.gov:8080/cgi-bin/ShowDocument?docid=3835" TargetMode="External"/><Relationship Id="rId51" Type="http://schemas.openxmlformats.org/officeDocument/2006/relationships/hyperlink" Target="http://mu2e-docdb.fnal.gov:8080/cgi-bin/ShowDocument?docid=4562" TargetMode="External"/><Relationship Id="rId72" Type="http://schemas.openxmlformats.org/officeDocument/2006/relationships/hyperlink" Target="http://mu2e-docdb.fnal.gov:8080/cgi-bin/ShowDocument?docid=4583" TargetMode="External"/><Relationship Id="rId80" Type="http://schemas.openxmlformats.org/officeDocument/2006/relationships/drawing" Target="../drawings/drawing1.xml"/><Relationship Id="rId3" Type="http://schemas.openxmlformats.org/officeDocument/2006/relationships/hyperlink" Target="http://mu2e-docdb.fnal.gov:8080/cgi-bin/ShowDocument?docid=3833" TargetMode="External"/><Relationship Id="rId12" Type="http://schemas.openxmlformats.org/officeDocument/2006/relationships/hyperlink" Target="http://mu2e-docdb.fnal.gov:8080/cgi-bin/ShowDocument?docid=3366" TargetMode="External"/><Relationship Id="rId17" Type="http://schemas.openxmlformats.org/officeDocument/2006/relationships/hyperlink" Target="http://mu2e-docdb.fnal.gov:8080/cgi-bin/ShowDocument?docid=3373" TargetMode="External"/><Relationship Id="rId25" Type="http://schemas.openxmlformats.org/officeDocument/2006/relationships/hyperlink" Target="http://mu2e-docdb.fnal.gov:8080/cgi-bin/ShowDocument?docid=3399" TargetMode="External"/><Relationship Id="rId33" Type="http://schemas.openxmlformats.org/officeDocument/2006/relationships/hyperlink" Target="http://mu2e-docdb.fnal.gov:8080/cgi-bin/ShowDocument?docid=4258" TargetMode="External"/><Relationship Id="rId38" Type="http://schemas.openxmlformats.org/officeDocument/2006/relationships/hyperlink" Target="http://mu2e-docdb.fnal.gov:8080/cgi-bin/ShowDocument?docid=3385" TargetMode="External"/><Relationship Id="rId46" Type="http://schemas.openxmlformats.org/officeDocument/2006/relationships/hyperlink" Target="http://mu2e-docdb.fnal.gov:8080/cgi-bin/ShowDocument?docid=4557" TargetMode="External"/><Relationship Id="rId59" Type="http://schemas.openxmlformats.org/officeDocument/2006/relationships/hyperlink" Target="http://mu2e-docdb.fnal.gov:8080/cgi-bin/ShowDocument?docid=4570" TargetMode="External"/><Relationship Id="rId67" Type="http://schemas.openxmlformats.org/officeDocument/2006/relationships/hyperlink" Target="http://mu2e-docdb.fnal.gov:8080/cgi-bin/ShowDocument?docid=4578" TargetMode="External"/><Relationship Id="rId20" Type="http://schemas.openxmlformats.org/officeDocument/2006/relationships/hyperlink" Target="http://mu2e-docdb.fnal.gov:8080/cgi-bin/ShowDocument?docid=3394" TargetMode="External"/><Relationship Id="rId41" Type="http://schemas.openxmlformats.org/officeDocument/2006/relationships/hyperlink" Target="http://mu2e-docdb.fnal.gov:8080/cgi-bin/ShowDocument?docid=4446" TargetMode="External"/><Relationship Id="rId54" Type="http://schemas.openxmlformats.org/officeDocument/2006/relationships/hyperlink" Target="http://mu2e-docdb.fnal.gov:8080/cgi-bin/ShowDocument?docid=4565" TargetMode="External"/><Relationship Id="rId62" Type="http://schemas.openxmlformats.org/officeDocument/2006/relationships/hyperlink" Target="http://mu2e-docdb.fnal.gov:8080/cgi-bin/ShowDocument?docid=4573" TargetMode="External"/><Relationship Id="rId70" Type="http://schemas.openxmlformats.org/officeDocument/2006/relationships/hyperlink" Target="http://mu2e-docdb.fnal.gov:8080/cgi-bin/ShowDocument?docid=4581" TargetMode="External"/><Relationship Id="rId75" Type="http://schemas.openxmlformats.org/officeDocument/2006/relationships/hyperlink" Target="http://mu2e-docdb.fnal.gov:8080/cgi-bin/ShowDocument?docid=4590" TargetMode="External"/><Relationship Id="rId1" Type="http://schemas.openxmlformats.org/officeDocument/2006/relationships/hyperlink" Target="http://mu2e-docdb.fnal.gov:8080/cgi-bin/ShowDocument?docid=3328" TargetMode="External"/><Relationship Id="rId6" Type="http://schemas.openxmlformats.org/officeDocument/2006/relationships/hyperlink" Target="http://mu2e-docdb.fnal.gov:8080/cgi-bin/ShowDocument?docid=3350" TargetMode="External"/><Relationship Id="rId15" Type="http://schemas.openxmlformats.org/officeDocument/2006/relationships/hyperlink" Target="http://mu2e-docdb.fnal.gov:8080/cgi-bin/ShowDocument?docid=3845" TargetMode="External"/><Relationship Id="rId23" Type="http://schemas.openxmlformats.org/officeDocument/2006/relationships/hyperlink" Target="http://mu2e-docdb.fnal.gov:8080/cgi-bin/ShowDocument?docid=3397" TargetMode="External"/><Relationship Id="rId28" Type="http://schemas.openxmlformats.org/officeDocument/2006/relationships/hyperlink" Target="http://mu2e-docdb.fnal.gov:8080/cgi-bin/ShowDocument?docid=4257" TargetMode="External"/><Relationship Id="rId36" Type="http://schemas.openxmlformats.org/officeDocument/2006/relationships/hyperlink" Target="http://mu2e-docdb.fnal.gov:8080/cgi-bin/ShowDocument?docid=3383" TargetMode="External"/><Relationship Id="rId49" Type="http://schemas.openxmlformats.org/officeDocument/2006/relationships/hyperlink" Target="http://mu2e-docdb.fnal.gov:8080/cgi-bin/ShowDocument?docid=4560" TargetMode="External"/><Relationship Id="rId57" Type="http://schemas.openxmlformats.org/officeDocument/2006/relationships/hyperlink" Target="http://mu2e-docdb.fnal.gov:8080/cgi-bin/ShowDocument?docid=4568"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mu2e-docdb.fnal.gov:8080/cgi-bin/ShowDocument?docid=3757" TargetMode="External"/><Relationship Id="rId18" Type="http://schemas.openxmlformats.org/officeDocument/2006/relationships/hyperlink" Target="http://mu2e-docdb.fnal.gov:8080/cgi-bin/ShowDocument?docid=3837" TargetMode="External"/><Relationship Id="rId26" Type="http://schemas.openxmlformats.org/officeDocument/2006/relationships/hyperlink" Target="http://mu2e-docdb.fnal.gov:8080/cgi-bin/ShowDocument?docid=3400" TargetMode="External"/><Relationship Id="rId39" Type="http://schemas.openxmlformats.org/officeDocument/2006/relationships/hyperlink" Target="http://mu2e-docdb.fnal.gov:8080/cgi-bin/ShowDocument?docid=4444" TargetMode="External"/><Relationship Id="rId21" Type="http://schemas.openxmlformats.org/officeDocument/2006/relationships/hyperlink" Target="http://mu2e-docdb.fnal.gov:8080/cgi-bin/ShowDocument?docid=3395" TargetMode="External"/><Relationship Id="rId34" Type="http://schemas.openxmlformats.org/officeDocument/2006/relationships/hyperlink" Target="http://mu2e-docdb.fnal.gov:8080/cgi-bin/ShowDocument?docid=4199" TargetMode="External"/><Relationship Id="rId42" Type="http://schemas.openxmlformats.org/officeDocument/2006/relationships/hyperlink" Target="http://mu2e-docdb.fnal.gov:8080/cgi-bin/ShowDocument?docid=4447" TargetMode="External"/><Relationship Id="rId47" Type="http://schemas.openxmlformats.org/officeDocument/2006/relationships/hyperlink" Target="http://mu2e-docdb.fnal.gov:8080/cgi-bin/ShowDocument?docid=4558" TargetMode="External"/><Relationship Id="rId50" Type="http://schemas.openxmlformats.org/officeDocument/2006/relationships/hyperlink" Target="http://mu2e-docdb.fnal.gov:8080/cgi-bin/ShowDocument?docid=4561" TargetMode="External"/><Relationship Id="rId55" Type="http://schemas.openxmlformats.org/officeDocument/2006/relationships/hyperlink" Target="http://mu2e-docdb.fnal.gov:8080/cgi-bin/ShowDocument?docid=4566" TargetMode="External"/><Relationship Id="rId63" Type="http://schemas.openxmlformats.org/officeDocument/2006/relationships/hyperlink" Target="http://mu2e-docdb.fnal.gov:8080/cgi-bin/ShowDocument?docid=4574" TargetMode="External"/><Relationship Id="rId68" Type="http://schemas.openxmlformats.org/officeDocument/2006/relationships/hyperlink" Target="http://mu2e-docdb.fnal.gov:8080/cgi-bin/ShowDocument?docid=4579" TargetMode="External"/><Relationship Id="rId76" Type="http://schemas.openxmlformats.org/officeDocument/2006/relationships/hyperlink" Target="http://mu2e-docdb.fnal.gov:8080/cgi-bin/ShowDocument?docid=4591" TargetMode="External"/><Relationship Id="rId7" Type="http://schemas.openxmlformats.org/officeDocument/2006/relationships/hyperlink" Target="http://mu2e-docdb.fnal.gov:8080/cgi-bin/ShowDocument?docid=3360" TargetMode="External"/><Relationship Id="rId71" Type="http://schemas.openxmlformats.org/officeDocument/2006/relationships/hyperlink" Target="http://mu2e-docdb.fnal.gov:8080/cgi-bin/ShowDocument?docid=4582" TargetMode="External"/><Relationship Id="rId2" Type="http://schemas.openxmlformats.org/officeDocument/2006/relationships/hyperlink" Target="http://mu2e-docdb.fnal.gov:8080/cgi-bin/ShowDocument?docid=3331" TargetMode="External"/><Relationship Id="rId16" Type="http://schemas.openxmlformats.org/officeDocument/2006/relationships/hyperlink" Target="http://mu2e-docdb.fnal.gov:8080/cgi-bin/ShowDocument?docid=3368" TargetMode="External"/><Relationship Id="rId29" Type="http://schemas.openxmlformats.org/officeDocument/2006/relationships/hyperlink" Target="http://mu2e-docdb.fnal.gov:8080/cgi-bin/ShowDocument?docid=4260" TargetMode="External"/><Relationship Id="rId11" Type="http://schemas.openxmlformats.org/officeDocument/2006/relationships/hyperlink" Target="http://mu2e-docdb.fnal.gov:8080/cgi-bin/ShowDocument?docid=3365" TargetMode="External"/><Relationship Id="rId24" Type="http://schemas.openxmlformats.org/officeDocument/2006/relationships/hyperlink" Target="http://mu2e-docdb.fnal.gov:8080/cgi-bin/ShowDocument?docid=3398" TargetMode="External"/><Relationship Id="rId32" Type="http://schemas.openxmlformats.org/officeDocument/2006/relationships/hyperlink" Target="http://mu2e-docdb.fnal.gov:8080/cgi-bin/ShowDocument?docid=4263" TargetMode="External"/><Relationship Id="rId37" Type="http://schemas.openxmlformats.org/officeDocument/2006/relationships/hyperlink" Target="http://mu2e-docdb.fnal.gov:8080/cgi-bin/ShowDocument?docid=3390" TargetMode="External"/><Relationship Id="rId40" Type="http://schemas.openxmlformats.org/officeDocument/2006/relationships/hyperlink" Target="http://mu2e-docdb.fnal.gov:8080/cgi-bin/ShowDocument?docid=3364" TargetMode="External"/><Relationship Id="rId45" Type="http://schemas.openxmlformats.org/officeDocument/2006/relationships/hyperlink" Target="http://mu2e-docdb.fnal.gov:8080/cgi-bin/ShowDocument?docid=4556" TargetMode="External"/><Relationship Id="rId53" Type="http://schemas.openxmlformats.org/officeDocument/2006/relationships/hyperlink" Target="http://mu2e-docdb.fnal.gov:8080/cgi-bin/ShowDocument?docid=4564" TargetMode="External"/><Relationship Id="rId58" Type="http://schemas.openxmlformats.org/officeDocument/2006/relationships/hyperlink" Target="http://mu2e-docdb.fnal.gov:8080/cgi-bin/ShowDocument?docid=4569" TargetMode="External"/><Relationship Id="rId66" Type="http://schemas.openxmlformats.org/officeDocument/2006/relationships/hyperlink" Target="http://mu2e-docdb.fnal.gov:8080/cgi-bin/ShowDocument?docid=4577" TargetMode="External"/><Relationship Id="rId74" Type="http://schemas.openxmlformats.org/officeDocument/2006/relationships/hyperlink" Target="http://mu2e-docdb.fnal.gov:8080/cgi-bin/ShowDocument?docid=4589" TargetMode="External"/><Relationship Id="rId79" Type="http://schemas.openxmlformats.org/officeDocument/2006/relationships/hyperlink" Target="http://mu2e-docdb.fnal.gov:8080/cgi-bin/ShowDocument?docid=6045" TargetMode="External"/><Relationship Id="rId5" Type="http://schemas.openxmlformats.org/officeDocument/2006/relationships/hyperlink" Target="http://mu2e-docdb.fnal.gov:8080/cgi-bin/ShowDocument?docid=3834" TargetMode="External"/><Relationship Id="rId61" Type="http://schemas.openxmlformats.org/officeDocument/2006/relationships/hyperlink" Target="http://mu2e-docdb.fnal.gov:8080/cgi-bin/ShowDocument?docid=4572" TargetMode="External"/><Relationship Id="rId82" Type="http://schemas.openxmlformats.org/officeDocument/2006/relationships/vmlDrawing" Target="../drawings/vmlDrawing2.vml"/><Relationship Id="rId10" Type="http://schemas.openxmlformats.org/officeDocument/2006/relationships/hyperlink" Target="http://mu2e-docdb.fnal.gov:8080/cgi-bin/ShowDocument?docid=3363" TargetMode="External"/><Relationship Id="rId19" Type="http://schemas.openxmlformats.org/officeDocument/2006/relationships/hyperlink" Target="http://mu2e-docdb.fnal.gov:8080/cgi-bin/ShowDocument?docid=3393" TargetMode="External"/><Relationship Id="rId31" Type="http://schemas.openxmlformats.org/officeDocument/2006/relationships/hyperlink" Target="http://mu2e-docdb.fnal.gov:8080/cgi-bin/ShowDocument?docid=4259" TargetMode="External"/><Relationship Id="rId44" Type="http://schemas.openxmlformats.org/officeDocument/2006/relationships/hyperlink" Target="http://mu2e-docdb.fnal.gov:8080/cgi-bin/ShowDocument?docid=4445" TargetMode="External"/><Relationship Id="rId52" Type="http://schemas.openxmlformats.org/officeDocument/2006/relationships/hyperlink" Target="http://mu2e-docdb.fnal.gov:8080/cgi-bin/ShowDocument?docid=4563" TargetMode="External"/><Relationship Id="rId60" Type="http://schemas.openxmlformats.org/officeDocument/2006/relationships/hyperlink" Target="http://mu2e-docdb.fnal.gov:8080/cgi-bin/ShowDocument?docid=4571" TargetMode="External"/><Relationship Id="rId65" Type="http://schemas.openxmlformats.org/officeDocument/2006/relationships/hyperlink" Target="http://mu2e-docdb.fnal.gov:8080/cgi-bin/ShowDocument?docid=4576" TargetMode="External"/><Relationship Id="rId73" Type="http://schemas.openxmlformats.org/officeDocument/2006/relationships/hyperlink" Target="http://mu2e-docdb.fnal.gov:8080/cgi-bin/ShowDocument?docid=4584" TargetMode="External"/><Relationship Id="rId78" Type="http://schemas.openxmlformats.org/officeDocument/2006/relationships/hyperlink" Target="http://mu2e-docdb.fnal.gov:8080/cgi-bin/ShowDocument?docid=4593" TargetMode="External"/><Relationship Id="rId81" Type="http://schemas.openxmlformats.org/officeDocument/2006/relationships/drawing" Target="../drawings/drawing2.xml"/><Relationship Id="rId4" Type="http://schemas.openxmlformats.org/officeDocument/2006/relationships/hyperlink" Target="http://mu2e-docdb.fnal.gov:8080/cgi-bin/ShowDocument?docid=3347" TargetMode="External"/><Relationship Id="rId9" Type="http://schemas.openxmlformats.org/officeDocument/2006/relationships/hyperlink" Target="http://mu2e-docdb.fnal.gov:8080/cgi-bin/ShowDocument?docid=3836" TargetMode="External"/><Relationship Id="rId14" Type="http://schemas.openxmlformats.org/officeDocument/2006/relationships/hyperlink" Target="http://mu2e-docdb.fnal.gov:8080/cgi-bin/ShowDocument?docid=3844" TargetMode="External"/><Relationship Id="rId22" Type="http://schemas.openxmlformats.org/officeDocument/2006/relationships/hyperlink" Target="http://mu2e-docdb.fnal.gov:8080/cgi-bin/ShowDocument?docid=3396" TargetMode="External"/><Relationship Id="rId27" Type="http://schemas.openxmlformats.org/officeDocument/2006/relationships/hyperlink" Target="http://mu2e-docdb.fnal.gov:8080/cgi-bin/ShowDocument?docid=3402" TargetMode="External"/><Relationship Id="rId30" Type="http://schemas.openxmlformats.org/officeDocument/2006/relationships/hyperlink" Target="http://mu2e-docdb.fnal.gov:8080/cgi-bin/ShowDocument?docid=4262" TargetMode="External"/><Relationship Id="rId35" Type="http://schemas.openxmlformats.org/officeDocument/2006/relationships/hyperlink" Target="http://mu2e-docdb.fnal.gov:8080/cgi-bin/ShowDocument?docid=3382" TargetMode="External"/><Relationship Id="rId43" Type="http://schemas.openxmlformats.org/officeDocument/2006/relationships/hyperlink" Target="http://mu2e-docdb.fnal.gov:8080/cgi-bin/ShowDocument?docid=4468" TargetMode="External"/><Relationship Id="rId48" Type="http://schemas.openxmlformats.org/officeDocument/2006/relationships/hyperlink" Target="http://mu2e-docdb.fnal.gov:8080/cgi-bin/ShowDocument?docid=4559" TargetMode="External"/><Relationship Id="rId56" Type="http://schemas.openxmlformats.org/officeDocument/2006/relationships/hyperlink" Target="http://mu2e-docdb.fnal.gov:8080/cgi-bin/ShowDocument?docid=4567" TargetMode="External"/><Relationship Id="rId64" Type="http://schemas.openxmlformats.org/officeDocument/2006/relationships/hyperlink" Target="http://mu2e-docdb.fnal.gov:8080/cgi-bin/ShowDocument?docid=4575" TargetMode="External"/><Relationship Id="rId69" Type="http://schemas.openxmlformats.org/officeDocument/2006/relationships/hyperlink" Target="http://mu2e-docdb.fnal.gov:8080/cgi-bin/ShowDocument?docid=4580" TargetMode="External"/><Relationship Id="rId77" Type="http://schemas.openxmlformats.org/officeDocument/2006/relationships/hyperlink" Target="http://mu2e-docdb.fnal.gov:8080/cgi-bin/ShowDocument?docid=4592" TargetMode="External"/><Relationship Id="rId8" Type="http://schemas.openxmlformats.org/officeDocument/2006/relationships/hyperlink" Target="http://mu2e-docdb.fnal.gov:8080/cgi-bin/ShowDocument?docid=3835" TargetMode="External"/><Relationship Id="rId51" Type="http://schemas.openxmlformats.org/officeDocument/2006/relationships/hyperlink" Target="http://mu2e-docdb.fnal.gov:8080/cgi-bin/ShowDocument?docid=4562" TargetMode="External"/><Relationship Id="rId72" Type="http://schemas.openxmlformats.org/officeDocument/2006/relationships/hyperlink" Target="http://mu2e-docdb.fnal.gov:8080/cgi-bin/ShowDocument?docid=4583" TargetMode="External"/><Relationship Id="rId80" Type="http://schemas.openxmlformats.org/officeDocument/2006/relationships/printerSettings" Target="../printerSettings/printerSettings1.bin"/><Relationship Id="rId3" Type="http://schemas.openxmlformats.org/officeDocument/2006/relationships/hyperlink" Target="http://mu2e-docdb.fnal.gov:8080/cgi-bin/ShowDocument?docid=3833" TargetMode="External"/><Relationship Id="rId12" Type="http://schemas.openxmlformats.org/officeDocument/2006/relationships/hyperlink" Target="http://mu2e-docdb.fnal.gov:8080/cgi-bin/ShowDocument?docid=3366" TargetMode="External"/><Relationship Id="rId17" Type="http://schemas.openxmlformats.org/officeDocument/2006/relationships/hyperlink" Target="http://mu2e-docdb.fnal.gov:8080/cgi-bin/ShowDocument?docid=3373" TargetMode="External"/><Relationship Id="rId25" Type="http://schemas.openxmlformats.org/officeDocument/2006/relationships/hyperlink" Target="http://mu2e-docdb.fnal.gov:8080/cgi-bin/ShowDocument?docid=3399" TargetMode="External"/><Relationship Id="rId33" Type="http://schemas.openxmlformats.org/officeDocument/2006/relationships/hyperlink" Target="http://mu2e-docdb.fnal.gov:8080/cgi-bin/ShowDocument?docid=4258" TargetMode="External"/><Relationship Id="rId38" Type="http://schemas.openxmlformats.org/officeDocument/2006/relationships/hyperlink" Target="http://mu2e-docdb.fnal.gov:8080/cgi-bin/ShowDocument?docid=3385" TargetMode="External"/><Relationship Id="rId46" Type="http://schemas.openxmlformats.org/officeDocument/2006/relationships/hyperlink" Target="http://mu2e-docdb.fnal.gov:8080/cgi-bin/ShowDocument?docid=4557" TargetMode="External"/><Relationship Id="rId59" Type="http://schemas.openxmlformats.org/officeDocument/2006/relationships/hyperlink" Target="http://mu2e-docdb.fnal.gov:8080/cgi-bin/ShowDocument?docid=4570" TargetMode="External"/><Relationship Id="rId67" Type="http://schemas.openxmlformats.org/officeDocument/2006/relationships/hyperlink" Target="http://mu2e-docdb.fnal.gov:8080/cgi-bin/ShowDocument?docid=4578" TargetMode="External"/><Relationship Id="rId20" Type="http://schemas.openxmlformats.org/officeDocument/2006/relationships/hyperlink" Target="http://mu2e-docdb.fnal.gov:8080/cgi-bin/ShowDocument?docid=3394" TargetMode="External"/><Relationship Id="rId41" Type="http://schemas.openxmlformats.org/officeDocument/2006/relationships/hyperlink" Target="http://mu2e-docdb.fnal.gov:8080/cgi-bin/ShowDocument?docid=4446" TargetMode="External"/><Relationship Id="rId54" Type="http://schemas.openxmlformats.org/officeDocument/2006/relationships/hyperlink" Target="http://mu2e-docdb.fnal.gov:8080/cgi-bin/ShowDocument?docid=4565" TargetMode="External"/><Relationship Id="rId62" Type="http://schemas.openxmlformats.org/officeDocument/2006/relationships/hyperlink" Target="http://mu2e-docdb.fnal.gov:8080/cgi-bin/ShowDocument?docid=4573" TargetMode="External"/><Relationship Id="rId70" Type="http://schemas.openxmlformats.org/officeDocument/2006/relationships/hyperlink" Target="http://mu2e-docdb.fnal.gov:8080/cgi-bin/ShowDocument?docid=4581" TargetMode="External"/><Relationship Id="rId75" Type="http://schemas.openxmlformats.org/officeDocument/2006/relationships/hyperlink" Target="http://mu2e-docdb.fnal.gov:8080/cgi-bin/ShowDocument?docid=4590" TargetMode="External"/><Relationship Id="rId83" Type="http://schemas.openxmlformats.org/officeDocument/2006/relationships/comments" Target="../comments2.xml"/><Relationship Id="rId1" Type="http://schemas.openxmlformats.org/officeDocument/2006/relationships/hyperlink" Target="http://mu2e-docdb.fnal.gov:8080/cgi-bin/ShowDocument?docid=3328" TargetMode="External"/><Relationship Id="rId6" Type="http://schemas.openxmlformats.org/officeDocument/2006/relationships/hyperlink" Target="http://mu2e-docdb.fnal.gov:8080/cgi-bin/ShowDocument?docid=3350" TargetMode="External"/><Relationship Id="rId15" Type="http://schemas.openxmlformats.org/officeDocument/2006/relationships/hyperlink" Target="http://mu2e-docdb.fnal.gov:8080/cgi-bin/ShowDocument?docid=3845" TargetMode="External"/><Relationship Id="rId23" Type="http://schemas.openxmlformats.org/officeDocument/2006/relationships/hyperlink" Target="http://mu2e-docdb.fnal.gov:8080/cgi-bin/ShowDocument?docid=3397" TargetMode="External"/><Relationship Id="rId28" Type="http://schemas.openxmlformats.org/officeDocument/2006/relationships/hyperlink" Target="http://mu2e-docdb.fnal.gov:8080/cgi-bin/ShowDocument?docid=4257" TargetMode="External"/><Relationship Id="rId36" Type="http://schemas.openxmlformats.org/officeDocument/2006/relationships/hyperlink" Target="http://mu2e-docdb.fnal.gov:8080/cgi-bin/ShowDocument?docid=3383" TargetMode="External"/><Relationship Id="rId49" Type="http://schemas.openxmlformats.org/officeDocument/2006/relationships/hyperlink" Target="http://mu2e-docdb.fnal.gov:8080/cgi-bin/ShowDocument?docid=4560" TargetMode="External"/><Relationship Id="rId57" Type="http://schemas.openxmlformats.org/officeDocument/2006/relationships/hyperlink" Target="http://mu2e-docdb.fnal.gov:8080/cgi-bin/ShowDocument?docid=456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mu2e-docdb.fnal.gov:8080/cgi-bin/ShowDocument?docid=3392" TargetMode="External"/><Relationship Id="rId3" Type="http://schemas.openxmlformats.org/officeDocument/2006/relationships/hyperlink" Target="http://mu2e-docdb.fnal.gov:8080/cgi-bin/ShowDocument?docid=3832" TargetMode="External"/><Relationship Id="rId7" Type="http://schemas.openxmlformats.org/officeDocument/2006/relationships/hyperlink" Target="http://mu2e-docdb.fnal.gov:8080/cgi-bin/ShowDocument?docid=5038" TargetMode="External"/><Relationship Id="rId2" Type="http://schemas.openxmlformats.org/officeDocument/2006/relationships/hyperlink" Target="http://mu2e-docdb.fnal.gov:8080/cgi-bin/ShowDocument?docid=3362" TargetMode="External"/><Relationship Id="rId1" Type="http://schemas.openxmlformats.org/officeDocument/2006/relationships/hyperlink" Target="http://mu2e-docdb.fnal.gov:8080/cgi-bin/ShowDocument?docid=3369" TargetMode="External"/><Relationship Id="rId6" Type="http://schemas.openxmlformats.org/officeDocument/2006/relationships/hyperlink" Target="http://mu2e-docdb.fnal.gov:8080/cgi-bin/ShowDocument?docid=3333" TargetMode="External"/><Relationship Id="rId5" Type="http://schemas.openxmlformats.org/officeDocument/2006/relationships/hyperlink" Target="http://mu2e-docdb.fnal.gov:8080/cgi-bin/ShowDocument?docid=4425" TargetMode="External"/><Relationship Id="rId4" Type="http://schemas.openxmlformats.org/officeDocument/2006/relationships/hyperlink" Target="http://mu2e-docdb.fnal.gov:8080/cgi-bin/ShowDocument?docid=3352" TargetMode="External"/><Relationship Id="rId9"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mu2e-docdb.fnal.gov:8080/cgi-bin/ShowDocument?docid=3954" TargetMode="External"/><Relationship Id="rId1" Type="http://schemas.openxmlformats.org/officeDocument/2006/relationships/hyperlink" Target="http://mu2e-docdb.fnal.gov:8080/cgi-bin/ShowDocument?docid=335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mu2e-docdb.fnal.gov:8080/cgi-bin/ShowDocument?docid=3372" TargetMode="External"/><Relationship Id="rId2" Type="http://schemas.openxmlformats.org/officeDocument/2006/relationships/hyperlink" Target="http://mu2e-docdb.fnal.gov:8080/cgi-bin/ShowDocument?docid=3367" TargetMode="External"/><Relationship Id="rId1" Type="http://schemas.openxmlformats.org/officeDocument/2006/relationships/hyperlink" Target="http://mu2e-docdb.fnal.gov:8080/cgi-bin/ShowDocument?docid=4225"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16" workbookViewId="0">
      <selection activeCell="F21" sqref="F21"/>
    </sheetView>
  </sheetViews>
  <sheetFormatPr defaultColWidth="8.85546875" defaultRowHeight="15" x14ac:dyDescent="0.25"/>
  <cols>
    <col min="1" max="1" width="15" customWidth="1"/>
    <col min="2" max="2" width="53.140625" customWidth="1"/>
    <col min="3" max="3" width="23.140625" customWidth="1"/>
    <col min="4" max="4" width="40.28515625" style="7" customWidth="1"/>
    <col min="5" max="5" width="19.85546875" customWidth="1"/>
    <col min="6" max="6" width="11.140625" customWidth="1"/>
  </cols>
  <sheetData>
    <row r="1" spans="1:6" ht="30" x14ac:dyDescent="0.25">
      <c r="A1" s="281" t="s">
        <v>546</v>
      </c>
      <c r="B1" s="282" t="s">
        <v>548</v>
      </c>
      <c r="C1" s="282" t="s">
        <v>547</v>
      </c>
      <c r="D1" s="282" t="s">
        <v>549</v>
      </c>
      <c r="E1" s="282" t="s">
        <v>559</v>
      </c>
      <c r="F1" s="280" t="s">
        <v>558</v>
      </c>
    </row>
    <row r="2" spans="1:6" ht="30" x14ac:dyDescent="0.25">
      <c r="A2" s="283">
        <v>41983</v>
      </c>
      <c r="B2" s="276" t="s">
        <v>560</v>
      </c>
      <c r="C2" s="277" t="s">
        <v>74</v>
      </c>
      <c r="D2" s="276"/>
      <c r="E2" s="278" t="s">
        <v>557</v>
      </c>
      <c r="F2" s="277"/>
    </row>
    <row r="3" spans="1:6" ht="60" x14ac:dyDescent="0.25">
      <c r="A3" s="273">
        <v>41983</v>
      </c>
      <c r="B3" s="274" t="s">
        <v>550</v>
      </c>
      <c r="C3" s="275" t="s">
        <v>552</v>
      </c>
      <c r="D3" s="276" t="s">
        <v>551</v>
      </c>
      <c r="E3" s="278" t="s">
        <v>556</v>
      </c>
      <c r="F3" s="277"/>
    </row>
    <row r="4" spans="1:6" ht="45" x14ac:dyDescent="0.25">
      <c r="A4" s="273">
        <v>41983</v>
      </c>
      <c r="B4" s="274" t="s">
        <v>555</v>
      </c>
      <c r="C4" s="275" t="s">
        <v>552</v>
      </c>
      <c r="D4" s="276" t="s">
        <v>606</v>
      </c>
      <c r="E4" s="278" t="s">
        <v>556</v>
      </c>
      <c r="F4" s="277" t="s">
        <v>607</v>
      </c>
    </row>
    <row r="5" spans="1:6" ht="30" x14ac:dyDescent="0.25">
      <c r="A5" s="273">
        <v>41983</v>
      </c>
      <c r="B5" s="276" t="s">
        <v>553</v>
      </c>
      <c r="C5" s="275" t="s">
        <v>552</v>
      </c>
      <c r="D5" s="276" t="s">
        <v>554</v>
      </c>
      <c r="E5" s="278" t="s">
        <v>557</v>
      </c>
      <c r="F5" s="277"/>
    </row>
    <row r="6" spans="1:6" ht="90" x14ac:dyDescent="0.25">
      <c r="A6" s="273">
        <v>42016</v>
      </c>
      <c r="B6" s="277" t="s">
        <v>561</v>
      </c>
      <c r="C6" s="274" t="s">
        <v>552</v>
      </c>
      <c r="D6" s="276" t="s">
        <v>455</v>
      </c>
      <c r="E6" s="278" t="s">
        <v>556</v>
      </c>
      <c r="F6" s="277"/>
    </row>
    <row r="7" spans="1:6" ht="225" x14ac:dyDescent="0.25">
      <c r="A7" s="273">
        <v>42025</v>
      </c>
      <c r="B7" s="276" t="s">
        <v>562</v>
      </c>
      <c r="C7" s="274" t="s">
        <v>552</v>
      </c>
      <c r="D7" s="276" t="s">
        <v>563</v>
      </c>
      <c r="E7" s="278" t="s">
        <v>557</v>
      </c>
      <c r="F7" s="277"/>
    </row>
    <row r="8" spans="1:6" ht="45" x14ac:dyDescent="0.25">
      <c r="A8" s="273">
        <v>42030</v>
      </c>
      <c r="B8" s="276" t="s">
        <v>584</v>
      </c>
      <c r="C8" s="274" t="s">
        <v>552</v>
      </c>
      <c r="D8" s="276" t="s">
        <v>585</v>
      </c>
      <c r="E8" s="278" t="s">
        <v>557</v>
      </c>
      <c r="F8" s="277"/>
    </row>
    <row r="9" spans="1:6" ht="30" x14ac:dyDescent="0.25">
      <c r="A9" s="273">
        <v>42030</v>
      </c>
      <c r="B9" s="276" t="s">
        <v>586</v>
      </c>
      <c r="C9" s="274" t="s">
        <v>552</v>
      </c>
      <c r="D9" s="276" t="s">
        <v>589</v>
      </c>
      <c r="E9" s="278" t="s">
        <v>557</v>
      </c>
      <c r="F9" s="277"/>
    </row>
    <row r="10" spans="1:6" ht="105" x14ac:dyDescent="0.25">
      <c r="A10" s="273">
        <v>42031</v>
      </c>
      <c r="B10" s="276" t="s">
        <v>587</v>
      </c>
      <c r="C10" s="274" t="s">
        <v>552</v>
      </c>
      <c r="D10" s="276" t="s">
        <v>588</v>
      </c>
      <c r="E10" s="278" t="s">
        <v>557</v>
      </c>
      <c r="F10" s="277"/>
    </row>
    <row r="11" spans="1:6" ht="225" x14ac:dyDescent="0.25">
      <c r="A11" s="273">
        <v>42074</v>
      </c>
      <c r="B11" s="276" t="s">
        <v>591</v>
      </c>
      <c r="C11" s="274" t="s">
        <v>552</v>
      </c>
      <c r="D11" s="276" t="s">
        <v>592</v>
      </c>
      <c r="E11" s="279"/>
      <c r="F11" s="277"/>
    </row>
    <row r="12" spans="1:6" ht="45" x14ac:dyDescent="0.25">
      <c r="A12" s="273">
        <v>42137</v>
      </c>
      <c r="B12" s="276" t="s">
        <v>595</v>
      </c>
      <c r="C12" s="274" t="s">
        <v>552</v>
      </c>
      <c r="D12" s="276" t="s">
        <v>596</v>
      </c>
      <c r="E12" s="279"/>
      <c r="F12" s="277"/>
    </row>
    <row r="13" spans="1:6" x14ac:dyDescent="0.25">
      <c r="A13" s="273">
        <v>42139</v>
      </c>
      <c r="B13" s="277" t="s">
        <v>600</v>
      </c>
      <c r="C13" s="274" t="s">
        <v>552</v>
      </c>
      <c r="D13" s="276" t="s">
        <v>602</v>
      </c>
      <c r="E13" s="279"/>
      <c r="F13" s="277" t="s">
        <v>601</v>
      </c>
    </row>
    <row r="14" spans="1:6" x14ac:dyDescent="0.25">
      <c r="A14" s="273">
        <v>42167</v>
      </c>
      <c r="B14" s="277" t="s">
        <v>603</v>
      </c>
      <c r="C14" s="274" t="s">
        <v>552</v>
      </c>
      <c r="D14" s="276" t="s">
        <v>605</v>
      </c>
      <c r="E14" s="279"/>
      <c r="F14" s="277" t="s">
        <v>604</v>
      </c>
    </row>
    <row r="15" spans="1:6" ht="15.75" x14ac:dyDescent="0.25">
      <c r="A15" s="273">
        <v>42258</v>
      </c>
      <c r="B15" s="366" t="s">
        <v>632</v>
      </c>
      <c r="C15" s="274" t="s">
        <v>552</v>
      </c>
      <c r="D15" s="276" t="s">
        <v>651</v>
      </c>
      <c r="E15" s="279"/>
      <c r="F15" s="277"/>
    </row>
    <row r="16" spans="1:6" ht="15.75" x14ac:dyDescent="0.25">
      <c r="A16" s="273">
        <v>42258</v>
      </c>
      <c r="B16" s="366" t="s">
        <v>633</v>
      </c>
      <c r="C16" s="274" t="s">
        <v>552</v>
      </c>
      <c r="D16" s="276" t="s">
        <v>651</v>
      </c>
      <c r="E16" s="279"/>
      <c r="F16" s="277" t="s">
        <v>653</v>
      </c>
    </row>
    <row r="17" spans="1:6" ht="15.75" x14ac:dyDescent="0.25">
      <c r="A17" s="273">
        <v>42258</v>
      </c>
      <c r="B17" s="366" t="s">
        <v>634</v>
      </c>
      <c r="C17" s="274" t="s">
        <v>552</v>
      </c>
      <c r="D17" s="276" t="s">
        <v>651</v>
      </c>
      <c r="E17" s="279"/>
      <c r="F17" s="277" t="s">
        <v>652</v>
      </c>
    </row>
    <row r="18" spans="1:6" ht="15.75" x14ac:dyDescent="0.25">
      <c r="A18" s="273">
        <v>42258</v>
      </c>
      <c r="B18" s="366" t="s">
        <v>635</v>
      </c>
      <c r="C18" s="274" t="s">
        <v>552</v>
      </c>
      <c r="D18" s="276" t="s">
        <v>651</v>
      </c>
      <c r="E18" s="279"/>
      <c r="F18" s="277"/>
    </row>
    <row r="19" spans="1:6" ht="15.75" x14ac:dyDescent="0.25">
      <c r="A19" s="273">
        <v>42258</v>
      </c>
      <c r="B19" s="366" t="s">
        <v>636</v>
      </c>
      <c r="C19" s="274" t="s">
        <v>552</v>
      </c>
      <c r="D19" s="276" t="s">
        <v>651</v>
      </c>
      <c r="E19" s="279"/>
      <c r="F19" s="277"/>
    </row>
    <row r="20" spans="1:6" ht="15.75" x14ac:dyDescent="0.25">
      <c r="A20" s="273">
        <v>42258</v>
      </c>
      <c r="B20" s="367" t="s">
        <v>637</v>
      </c>
      <c r="C20" s="274" t="s">
        <v>552</v>
      </c>
      <c r="D20" s="276" t="s">
        <v>651</v>
      </c>
      <c r="E20" s="277"/>
      <c r="F20" s="277"/>
    </row>
    <row r="21" spans="1:6" ht="15.75" x14ac:dyDescent="0.25">
      <c r="A21" s="273">
        <v>42258</v>
      </c>
      <c r="B21" s="366" t="s">
        <v>638</v>
      </c>
      <c r="C21" s="274" t="s">
        <v>552</v>
      </c>
      <c r="D21" s="276" t="s">
        <v>651</v>
      </c>
      <c r="E21" s="279"/>
      <c r="F21" s="277"/>
    </row>
    <row r="22" spans="1:6" ht="15.75" x14ac:dyDescent="0.25">
      <c r="A22" s="273">
        <v>42258</v>
      </c>
      <c r="B22" s="366" t="s">
        <v>639</v>
      </c>
      <c r="C22" s="274" t="s">
        <v>552</v>
      </c>
      <c r="D22" s="276" t="s">
        <v>651</v>
      </c>
      <c r="E22" s="279"/>
      <c r="F22" s="277"/>
    </row>
    <row r="23" spans="1:6" ht="15.75" x14ac:dyDescent="0.25">
      <c r="A23" s="273">
        <v>42258</v>
      </c>
      <c r="B23" s="366" t="s">
        <v>640</v>
      </c>
      <c r="C23" s="274" t="s">
        <v>552</v>
      </c>
      <c r="D23" s="276" t="s">
        <v>651</v>
      </c>
      <c r="E23" s="279"/>
      <c r="F23" s="277"/>
    </row>
    <row r="24" spans="1:6" ht="15.75" x14ac:dyDescent="0.25">
      <c r="A24" s="273">
        <v>42258</v>
      </c>
      <c r="B24" s="366" t="s">
        <v>641</v>
      </c>
      <c r="C24" s="274" t="s">
        <v>552</v>
      </c>
      <c r="D24" s="276" t="s">
        <v>651</v>
      </c>
      <c r="E24" s="279"/>
      <c r="F24" s="277"/>
    </row>
    <row r="25" spans="1:6" ht="47.25" x14ac:dyDescent="0.25">
      <c r="A25" s="273">
        <v>42258</v>
      </c>
      <c r="B25" s="368" t="s">
        <v>642</v>
      </c>
      <c r="C25" s="274" t="s">
        <v>552</v>
      </c>
      <c r="D25" s="276" t="s">
        <v>651</v>
      </c>
      <c r="E25" s="279"/>
      <c r="F25" s="277"/>
    </row>
    <row r="26" spans="1:6" ht="63" x14ac:dyDescent="0.25">
      <c r="A26" s="273">
        <v>42258</v>
      </c>
      <c r="B26" s="368" t="s">
        <v>643</v>
      </c>
      <c r="C26" s="274" t="s">
        <v>552</v>
      </c>
      <c r="D26" s="276" t="s">
        <v>651</v>
      </c>
      <c r="E26" s="277"/>
      <c r="F26" s="277"/>
    </row>
    <row r="27" spans="1:6" ht="15.75" x14ac:dyDescent="0.25">
      <c r="A27" s="273">
        <v>42258</v>
      </c>
      <c r="B27" s="366" t="s">
        <v>644</v>
      </c>
      <c r="C27" s="274" t="s">
        <v>552</v>
      </c>
      <c r="D27" s="276" t="s">
        <v>651</v>
      </c>
      <c r="E27" s="279"/>
      <c r="F27" s="277"/>
    </row>
    <row r="28" spans="1:6" ht="15.75" x14ac:dyDescent="0.25">
      <c r="A28" s="273">
        <v>42258</v>
      </c>
      <c r="B28" s="366" t="s">
        <v>645</v>
      </c>
      <c r="C28" s="274" t="s">
        <v>552</v>
      </c>
      <c r="D28" s="276" t="s">
        <v>651</v>
      </c>
      <c r="E28" s="279"/>
      <c r="F28" s="277"/>
    </row>
    <row r="29" spans="1:6" ht="15.75" x14ac:dyDescent="0.25">
      <c r="A29" s="273">
        <v>42258</v>
      </c>
      <c r="B29" s="366" t="s">
        <v>646</v>
      </c>
      <c r="C29" s="274" t="s">
        <v>552</v>
      </c>
      <c r="D29" s="276" t="s">
        <v>651</v>
      </c>
      <c r="E29" s="279"/>
      <c r="F29" s="277"/>
    </row>
    <row r="30" spans="1:6" ht="15.75" x14ac:dyDescent="0.25">
      <c r="A30" s="273">
        <v>42258</v>
      </c>
      <c r="B30" s="366" t="s">
        <v>647</v>
      </c>
      <c r="C30" s="274" t="s">
        <v>552</v>
      </c>
      <c r="D30" s="276" t="s">
        <v>651</v>
      </c>
      <c r="E30" s="279"/>
      <c r="F30" s="277"/>
    </row>
    <row r="31" spans="1:6" ht="15.75" x14ac:dyDescent="0.25">
      <c r="A31" s="273">
        <v>42258</v>
      </c>
      <c r="B31" s="366" t="s">
        <v>648</v>
      </c>
      <c r="C31" s="274" t="s">
        <v>552</v>
      </c>
      <c r="D31" s="276" t="s">
        <v>651</v>
      </c>
      <c r="E31" s="279"/>
      <c r="F31" s="277"/>
    </row>
    <row r="32" spans="1:6" ht="15.75" x14ac:dyDescent="0.25">
      <c r="A32" s="273">
        <v>42258</v>
      </c>
      <c r="B32" s="366" t="s">
        <v>631</v>
      </c>
      <c r="C32" s="274" t="s">
        <v>552</v>
      </c>
      <c r="D32" s="276" t="s">
        <v>651</v>
      </c>
      <c r="E32" s="277"/>
      <c r="F32" s="277"/>
    </row>
    <row r="33" spans="1:6" ht="15.75" x14ac:dyDescent="0.25">
      <c r="A33" s="273">
        <v>42258</v>
      </c>
      <c r="B33" s="366" t="s">
        <v>649</v>
      </c>
      <c r="C33" s="274" t="s">
        <v>552</v>
      </c>
      <c r="D33" s="276" t="s">
        <v>651</v>
      </c>
      <c r="E33" s="279"/>
      <c r="F33" s="277"/>
    </row>
    <row r="34" spans="1:6" ht="31.5" x14ac:dyDescent="0.25">
      <c r="A34" s="273">
        <v>42258</v>
      </c>
      <c r="B34" s="368" t="s">
        <v>650</v>
      </c>
      <c r="C34" s="274" t="s">
        <v>552</v>
      </c>
      <c r="D34" s="276" t="s">
        <v>651</v>
      </c>
      <c r="E34" s="279"/>
      <c r="F34" s="277"/>
    </row>
    <row r="35" spans="1:6" x14ac:dyDescent="0.25">
      <c r="A35" s="273"/>
      <c r="B35" s="277"/>
      <c r="C35" s="274"/>
      <c r="D35" s="276"/>
      <c r="E35" s="279"/>
      <c r="F35" s="277"/>
    </row>
    <row r="36" spans="1:6" x14ac:dyDescent="0.25">
      <c r="A36" s="273"/>
      <c r="B36" s="277"/>
      <c r="C36" s="274"/>
      <c r="D36" s="365"/>
      <c r="E36" s="279"/>
      <c r="F36" s="277"/>
    </row>
    <row r="37" spans="1:6" x14ac:dyDescent="0.25">
      <c r="A37" s="273"/>
      <c r="B37" s="277"/>
      <c r="C37" s="274"/>
      <c r="D37" s="276"/>
      <c r="E37" s="279"/>
      <c r="F37" s="277"/>
    </row>
    <row r="38" spans="1:6" x14ac:dyDescent="0.25">
      <c r="A38" s="273"/>
      <c r="B38" s="277"/>
      <c r="C38" s="274"/>
      <c r="D38" s="276"/>
      <c r="E38" s="277"/>
      <c r="F38" s="277"/>
    </row>
    <row r="39" spans="1:6" x14ac:dyDescent="0.25">
      <c r="A39" s="273"/>
      <c r="B39" s="277"/>
      <c r="C39" s="274"/>
      <c r="D39" s="276"/>
      <c r="E39" s="279"/>
      <c r="F39" s="277"/>
    </row>
    <row r="40" spans="1:6" x14ac:dyDescent="0.25">
      <c r="A40" s="273"/>
      <c r="B40" s="277"/>
      <c r="C40" s="274"/>
      <c r="D40" s="276"/>
      <c r="E40" s="279"/>
      <c r="F40" s="277"/>
    </row>
    <row r="41" spans="1:6" x14ac:dyDescent="0.25">
      <c r="A41" s="273"/>
      <c r="B41" s="277"/>
      <c r="C41" s="274"/>
      <c r="D41" s="276"/>
      <c r="E41" s="279"/>
      <c r="F41" s="277"/>
    </row>
    <row r="42" spans="1:6" x14ac:dyDescent="0.25">
      <c r="A42" s="273"/>
      <c r="B42" s="277"/>
      <c r="C42" s="274"/>
      <c r="D42" s="276"/>
      <c r="E42" s="279"/>
      <c r="F42" s="277"/>
    </row>
    <row r="43" spans="1:6" x14ac:dyDescent="0.25">
      <c r="A43" s="273"/>
      <c r="B43" s="277"/>
      <c r="C43" s="274"/>
      <c r="D43" s="276"/>
      <c r="E43" s="279"/>
      <c r="F43" s="277"/>
    </row>
    <row r="44" spans="1:6" x14ac:dyDescent="0.25">
      <c r="A44" s="273"/>
      <c r="B44" s="277"/>
      <c r="C44" s="274"/>
      <c r="D44" s="276"/>
      <c r="E44" s="277"/>
      <c r="F44" s="277"/>
    </row>
    <row r="45" spans="1:6" x14ac:dyDescent="0.25">
      <c r="A45" s="273"/>
      <c r="B45" s="277"/>
      <c r="C45" s="274"/>
      <c r="D45" s="276"/>
      <c r="E45" s="279"/>
      <c r="F45" s="277"/>
    </row>
    <row r="46" spans="1:6" x14ac:dyDescent="0.25">
      <c r="A46" s="273"/>
      <c r="B46" s="277"/>
      <c r="C46" s="274"/>
      <c r="D46" s="276"/>
      <c r="E46" s="279"/>
      <c r="F46" s="277"/>
    </row>
    <row r="47" spans="1:6" x14ac:dyDescent="0.25">
      <c r="A47" s="273"/>
      <c r="B47" s="277"/>
      <c r="C47" s="274"/>
      <c r="D47" s="276"/>
      <c r="E47" s="279"/>
      <c r="F47" s="277"/>
    </row>
    <row r="48" spans="1:6" x14ac:dyDescent="0.25">
      <c r="A48" s="273"/>
      <c r="B48" s="277"/>
      <c r="C48" s="274"/>
      <c r="D48" s="276"/>
      <c r="E48" s="279"/>
      <c r="F48" s="277"/>
    </row>
    <row r="49" spans="1:6" x14ac:dyDescent="0.25">
      <c r="A49" s="273"/>
      <c r="B49" s="277"/>
      <c r="C49" s="274"/>
      <c r="D49" s="276"/>
      <c r="E49" s="279"/>
      <c r="F49" s="277"/>
    </row>
    <row r="50" spans="1:6" x14ac:dyDescent="0.25">
      <c r="A50" s="273"/>
      <c r="B50" s="277"/>
      <c r="C50" s="274"/>
      <c r="D50" s="276"/>
      <c r="E50" s="277"/>
      <c r="F50" s="277"/>
    </row>
    <row r="51" spans="1:6" x14ac:dyDescent="0.25">
      <c r="A51" s="273"/>
      <c r="B51" s="277"/>
      <c r="C51" s="274"/>
      <c r="D51" s="276"/>
      <c r="E51" s="279"/>
      <c r="F51" s="277"/>
    </row>
    <row r="52" spans="1:6" x14ac:dyDescent="0.25">
      <c r="A52" s="273"/>
      <c r="B52" s="277"/>
      <c r="C52" s="274"/>
      <c r="D52" s="276"/>
      <c r="E52" s="279"/>
      <c r="F52" s="277"/>
    </row>
    <row r="53" spans="1:6" x14ac:dyDescent="0.25">
      <c r="A53" s="273"/>
      <c r="B53" s="277"/>
      <c r="C53" s="274"/>
      <c r="D53" s="276"/>
      <c r="E53" s="279"/>
      <c r="F53" s="277"/>
    </row>
    <row r="54" spans="1:6" x14ac:dyDescent="0.25">
      <c r="A54" s="273"/>
      <c r="B54" s="277"/>
      <c r="C54" s="274"/>
      <c r="D54" s="276"/>
      <c r="E54" s="279"/>
      <c r="F54" s="277"/>
    </row>
    <row r="55" spans="1:6" x14ac:dyDescent="0.25">
      <c r="A55" s="273"/>
      <c r="B55" s="277"/>
      <c r="C55" s="274"/>
      <c r="D55" s="276"/>
      <c r="E55" s="279"/>
      <c r="F55" s="277"/>
    </row>
    <row r="56" spans="1:6" x14ac:dyDescent="0.25">
      <c r="A56" s="273"/>
      <c r="B56" s="277"/>
      <c r="C56" s="274"/>
      <c r="D56" s="276"/>
      <c r="E56" s="277"/>
      <c r="F56" s="277"/>
    </row>
    <row r="57" spans="1:6" x14ac:dyDescent="0.25">
      <c r="A57" s="273"/>
      <c r="B57" s="277"/>
      <c r="C57" s="274"/>
      <c r="D57" s="276"/>
      <c r="E57" s="279"/>
      <c r="F57" s="277"/>
    </row>
    <row r="58" spans="1:6" x14ac:dyDescent="0.25">
      <c r="A58" s="273"/>
      <c r="B58" s="277"/>
      <c r="C58" s="274"/>
      <c r="D58" s="276"/>
      <c r="E58" s="279"/>
      <c r="F58" s="277"/>
    </row>
    <row r="59" spans="1:6" x14ac:dyDescent="0.25">
      <c r="A59" s="273"/>
      <c r="B59" s="277"/>
      <c r="C59" s="274"/>
      <c r="D59" s="276"/>
      <c r="E59" s="279"/>
      <c r="F59" s="277"/>
    </row>
    <row r="60" spans="1:6" x14ac:dyDescent="0.25">
      <c r="A60" s="273"/>
      <c r="B60" s="277"/>
      <c r="C60" s="274"/>
      <c r="D60" s="276"/>
      <c r="E60" s="279"/>
      <c r="F60" s="277"/>
    </row>
    <row r="61" spans="1:6" x14ac:dyDescent="0.25">
      <c r="A61" s="273"/>
      <c r="B61" s="277"/>
      <c r="C61" s="274"/>
      <c r="D61" s="276"/>
      <c r="E61" s="279"/>
      <c r="F61" s="277"/>
    </row>
    <row r="62" spans="1:6" x14ac:dyDescent="0.25">
      <c r="A62" s="273"/>
      <c r="B62" s="277"/>
      <c r="C62" s="274"/>
      <c r="D62" s="276"/>
      <c r="E62" s="277"/>
      <c r="F62" s="277"/>
    </row>
    <row r="63" spans="1:6" x14ac:dyDescent="0.25">
      <c r="A63" s="273"/>
      <c r="B63" s="277"/>
      <c r="C63" s="274"/>
      <c r="D63" s="276"/>
      <c r="E63" s="279"/>
      <c r="F63" s="277"/>
    </row>
    <row r="64" spans="1:6" x14ac:dyDescent="0.25">
      <c r="A64" s="273"/>
      <c r="B64" s="277"/>
      <c r="C64" s="274"/>
      <c r="D64" s="276"/>
      <c r="E64" s="279"/>
      <c r="F64" s="277"/>
    </row>
    <row r="65" spans="1:6" x14ac:dyDescent="0.25">
      <c r="A65" s="273"/>
      <c r="B65" s="277"/>
      <c r="C65" s="274"/>
      <c r="D65" s="276"/>
      <c r="E65" s="279"/>
      <c r="F65" s="277"/>
    </row>
    <row r="66" spans="1:6" x14ac:dyDescent="0.25">
      <c r="A66" s="273"/>
      <c r="B66" s="277"/>
      <c r="C66" s="274"/>
      <c r="D66" s="276"/>
      <c r="E66" s="279"/>
      <c r="F66" s="277"/>
    </row>
    <row r="67" spans="1:6" x14ac:dyDescent="0.25">
      <c r="A67" s="273"/>
      <c r="B67" s="277"/>
      <c r="C67" s="274"/>
      <c r="D67" s="276"/>
      <c r="E67" s="279"/>
      <c r="F67" s="277"/>
    </row>
    <row r="68" spans="1:6" x14ac:dyDescent="0.25">
      <c r="A68" s="273"/>
      <c r="B68" s="277"/>
      <c r="C68" s="274"/>
      <c r="D68" s="276"/>
      <c r="E68" s="277"/>
      <c r="F68" s="277"/>
    </row>
    <row r="69" spans="1:6" x14ac:dyDescent="0.25">
      <c r="A69" s="273"/>
      <c r="B69" s="277"/>
      <c r="C69" s="274"/>
      <c r="D69" s="276"/>
      <c r="E69" s="279"/>
      <c r="F69" s="277"/>
    </row>
    <row r="70" spans="1:6" x14ac:dyDescent="0.25">
      <c r="A70" s="273"/>
      <c r="B70" s="277"/>
      <c r="C70" s="274"/>
      <c r="D70" s="276"/>
      <c r="E70" s="279"/>
      <c r="F70" s="277"/>
    </row>
    <row r="71" spans="1:6" x14ac:dyDescent="0.25">
      <c r="A71" s="273"/>
      <c r="B71" s="277"/>
      <c r="C71" s="274"/>
      <c r="D71" s="276"/>
      <c r="E71" s="279"/>
      <c r="F71" s="277"/>
    </row>
    <row r="72" spans="1:6" x14ac:dyDescent="0.25">
      <c r="A72" s="273"/>
      <c r="B72" s="277"/>
      <c r="C72" s="274"/>
      <c r="D72" s="276"/>
      <c r="E72" s="279"/>
      <c r="F72" s="277"/>
    </row>
    <row r="73" spans="1:6" x14ac:dyDescent="0.25">
      <c r="A73" s="273"/>
      <c r="B73" s="277"/>
      <c r="C73" s="274"/>
      <c r="D73" s="276"/>
      <c r="E73" s="279"/>
      <c r="F73" s="277"/>
    </row>
    <row r="74" spans="1:6" x14ac:dyDescent="0.25">
      <c r="A74" s="273"/>
      <c r="B74" s="277"/>
      <c r="C74" s="274"/>
      <c r="D74" s="276"/>
      <c r="E74" s="277"/>
      <c r="F74" s="277"/>
    </row>
    <row r="75" spans="1:6" x14ac:dyDescent="0.25">
      <c r="A75" s="273"/>
      <c r="B75" s="277"/>
      <c r="C75" s="274"/>
      <c r="D75" s="276"/>
      <c r="E75" s="279"/>
      <c r="F75" s="277"/>
    </row>
    <row r="76" spans="1:6" x14ac:dyDescent="0.25">
      <c r="A76" s="273"/>
      <c r="B76" s="277"/>
      <c r="C76" s="274"/>
      <c r="D76" s="276"/>
      <c r="E76" s="279"/>
      <c r="F76" s="277"/>
    </row>
    <row r="77" spans="1:6" x14ac:dyDescent="0.25">
      <c r="A77" s="273"/>
      <c r="B77" s="277"/>
      <c r="C77" s="274"/>
      <c r="D77" s="276"/>
      <c r="E77" s="279"/>
      <c r="F77" s="277"/>
    </row>
    <row r="78" spans="1:6" x14ac:dyDescent="0.25">
      <c r="A78" s="273"/>
      <c r="B78" s="277"/>
      <c r="C78" s="274"/>
      <c r="D78" s="276"/>
      <c r="E78" s="279"/>
      <c r="F78" s="277"/>
    </row>
    <row r="79" spans="1:6" x14ac:dyDescent="0.25">
      <c r="A79" s="273"/>
      <c r="B79" s="277"/>
      <c r="C79" s="274"/>
      <c r="D79" s="276"/>
      <c r="E79" s="279"/>
      <c r="F79" s="277"/>
    </row>
    <row r="80" spans="1:6" x14ac:dyDescent="0.25">
      <c r="A80" s="273"/>
      <c r="B80" s="277"/>
      <c r="C80" s="274"/>
      <c r="D80" s="276"/>
      <c r="E80" s="277"/>
      <c r="F80" s="277"/>
    </row>
    <row r="81" spans="1:6" x14ac:dyDescent="0.25">
      <c r="A81" s="273"/>
      <c r="B81" s="277"/>
      <c r="C81" s="274"/>
      <c r="D81" s="276"/>
      <c r="E81" s="279"/>
      <c r="F81" s="277"/>
    </row>
    <row r="82" spans="1:6" x14ac:dyDescent="0.25">
      <c r="A82" s="273"/>
      <c r="B82" s="277"/>
      <c r="C82" s="274"/>
      <c r="D82" s="276"/>
      <c r="E82" s="279"/>
      <c r="F82" s="277"/>
    </row>
    <row r="83" spans="1:6" x14ac:dyDescent="0.25">
      <c r="A83" s="273"/>
      <c r="B83" s="277"/>
      <c r="C83" s="274"/>
      <c r="D83" s="276"/>
      <c r="E83" s="279"/>
      <c r="F83" s="277"/>
    </row>
    <row r="84" spans="1:6" x14ac:dyDescent="0.25">
      <c r="A84" s="273"/>
      <c r="B84" s="277"/>
      <c r="C84" s="274"/>
      <c r="D84" s="276"/>
      <c r="E84" s="279"/>
      <c r="F84" s="277"/>
    </row>
    <row r="85" spans="1:6" x14ac:dyDescent="0.25">
      <c r="A85" s="273"/>
      <c r="B85" s="277"/>
      <c r="C85" s="274"/>
      <c r="D85" s="276"/>
      <c r="E85" s="279"/>
      <c r="F85" s="277"/>
    </row>
    <row r="86" spans="1:6" x14ac:dyDescent="0.25">
      <c r="A86" s="273"/>
      <c r="B86" s="277"/>
      <c r="C86" s="274"/>
      <c r="D86" s="276"/>
      <c r="E86" s="277"/>
      <c r="F86" s="277"/>
    </row>
  </sheetData>
  <customSheetViews>
    <customSheetView guid="{8AF944F7-C3D1-6E48-8544-F246EE5D8D9B}" topLeftCell="A10">
      <selection activeCell="E12" sqref="E12"/>
      <pageMargins left="0.7" right="0.7" top="0.75" bottom="0.75" header="0.3" footer="0.3"/>
    </customSheetView>
    <customSheetView guid="{2B075AC7-DBBC-D945-A93B-024C897F18C8}">
      <selection activeCell="D15" sqref="D15"/>
      <pageMargins left="0.7" right="0.7" top="0.75" bottom="0.75" header="0.3" footer="0.3"/>
    </customSheetView>
    <customSheetView guid="{7D136558-6337-4481-BB09-697594446B4E}" topLeftCell="A10">
      <selection activeCell="E16" sqref="E16"/>
      <pageMargins left="0.7" right="0.7" top="0.75" bottom="0.75" header="0.3" footer="0.3"/>
    </customSheetView>
  </customSheetViews>
  <phoneticPr fontId="21" type="noConversion"/>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8"/>
  <sheetViews>
    <sheetView topLeftCell="A7" workbookViewId="0">
      <selection activeCell="E9" sqref="E9"/>
    </sheetView>
  </sheetViews>
  <sheetFormatPr defaultColWidth="8.85546875" defaultRowHeight="15" x14ac:dyDescent="0.25"/>
  <cols>
    <col min="1" max="1" width="15.85546875" customWidth="1"/>
    <col min="2" max="2" width="14.42578125" customWidth="1"/>
    <col min="3" max="3" width="14.140625" customWidth="1"/>
    <col min="4" max="4" width="35.42578125" customWidth="1"/>
    <col min="5" max="5" width="11.7109375" customWidth="1"/>
    <col min="6" max="6" width="19.7109375" customWidth="1"/>
    <col min="14" max="14" width="13.42578125" customWidth="1"/>
  </cols>
  <sheetData>
    <row r="1" spans="1:25" s="3" customFormat="1" ht="23.25" customHeight="1" thickBot="1" x14ac:dyDescent="0.3">
      <c r="A1" s="391" t="s">
        <v>26</v>
      </c>
      <c r="B1" s="392"/>
      <c r="C1" s="392"/>
      <c r="D1" s="375"/>
      <c r="E1" s="341"/>
      <c r="F1" s="341"/>
      <c r="G1" s="341"/>
      <c r="H1" s="393" t="s">
        <v>54</v>
      </c>
      <c r="I1" s="394"/>
      <c r="J1" s="394"/>
      <c r="K1" s="394"/>
      <c r="L1" s="394"/>
      <c r="M1" s="395"/>
      <c r="N1" s="341"/>
      <c r="O1" s="172"/>
      <c r="P1" s="172"/>
      <c r="Q1" s="172"/>
      <c r="R1" s="172"/>
      <c r="S1" s="172"/>
      <c r="T1" s="372" t="s">
        <v>371</v>
      </c>
      <c r="U1" s="373"/>
      <c r="V1" s="373"/>
      <c r="W1" s="373"/>
      <c r="X1" s="168"/>
      <c r="Y1" s="26" t="s">
        <v>32</v>
      </c>
    </row>
    <row r="2" spans="1:25" s="139" customFormat="1" ht="83.1" customHeight="1" thickBot="1" x14ac:dyDescent="0.3">
      <c r="A2" s="173" t="s">
        <v>425</v>
      </c>
      <c r="B2" s="174" t="s">
        <v>426</v>
      </c>
      <c r="C2" s="175" t="s">
        <v>56</v>
      </c>
      <c r="D2" s="176" t="s">
        <v>28</v>
      </c>
      <c r="E2" s="175" t="s">
        <v>309</v>
      </c>
      <c r="F2" s="175" t="s">
        <v>427</v>
      </c>
      <c r="G2" s="175" t="s">
        <v>428</v>
      </c>
      <c r="H2" s="177" t="s">
        <v>30</v>
      </c>
      <c r="I2" s="177" t="s">
        <v>57</v>
      </c>
      <c r="J2" s="177" t="s">
        <v>31</v>
      </c>
      <c r="K2" s="177" t="s">
        <v>58</v>
      </c>
      <c r="L2" s="177" t="s">
        <v>545</v>
      </c>
      <c r="M2" s="177" t="s">
        <v>59</v>
      </c>
      <c r="N2" s="175" t="s">
        <v>29</v>
      </c>
      <c r="O2" s="178" t="s">
        <v>41</v>
      </c>
      <c r="P2" s="179" t="s">
        <v>42</v>
      </c>
      <c r="Q2" s="179" t="s">
        <v>43</v>
      </c>
      <c r="R2" s="179" t="s">
        <v>50</v>
      </c>
      <c r="S2" s="180" t="s">
        <v>51</v>
      </c>
      <c r="T2" s="396" t="s">
        <v>44</v>
      </c>
      <c r="U2" s="397"/>
      <c r="V2" s="340" t="s">
        <v>45</v>
      </c>
      <c r="W2" s="340" t="s">
        <v>522</v>
      </c>
      <c r="X2" s="168"/>
      <c r="Y2" s="138"/>
    </row>
    <row r="3" spans="1:25" s="2" customFormat="1" ht="30" x14ac:dyDescent="0.25">
      <c r="A3" s="182" t="s">
        <v>96</v>
      </c>
      <c r="B3" s="183">
        <v>3328</v>
      </c>
      <c r="C3" s="184" t="s">
        <v>61</v>
      </c>
      <c r="D3" s="185" t="s">
        <v>97</v>
      </c>
      <c r="E3" s="184" t="s">
        <v>513</v>
      </c>
      <c r="F3" s="186"/>
      <c r="G3" s="184" t="s">
        <v>374</v>
      </c>
      <c r="H3" s="187" t="s">
        <v>33</v>
      </c>
      <c r="I3" s="184" t="s">
        <v>36</v>
      </c>
      <c r="J3" s="184" t="s">
        <v>35</v>
      </c>
      <c r="K3" s="184" t="s">
        <v>35</v>
      </c>
      <c r="L3" s="184" t="s">
        <v>35</v>
      </c>
      <c r="M3" s="188" t="s">
        <v>36</v>
      </c>
      <c r="N3" s="184" t="s">
        <v>74</v>
      </c>
      <c r="O3" s="189">
        <v>75000</v>
      </c>
      <c r="P3" s="190">
        <v>60</v>
      </c>
      <c r="Q3" s="191">
        <v>0.25</v>
      </c>
      <c r="R3" s="189">
        <f t="shared" ref="R3:R9" si="0">O3*Q3</f>
        <v>18750</v>
      </c>
      <c r="S3" s="192">
        <f t="shared" ref="S3:S9" si="1">P3*Q3</f>
        <v>15</v>
      </c>
      <c r="T3" s="193">
        <f t="shared" ref="T3:T28" si="2">IF(H3="VL",0,IF(H3="L",0.1,IF(H3="M",0.25,IF(H3="H",0.75,IF(H3="VH",0.9,1)))))</f>
        <v>0.25</v>
      </c>
      <c r="U3" s="193">
        <f t="shared" ref="U3:U28" si="3">IF(H3="VL",0.1,IF(H3="L",0.25,IF(H3="M",0.75,IF(H3="H",0.9,IF(H3="VH",1,1)))))</f>
        <v>0.75</v>
      </c>
      <c r="V3" s="194">
        <f t="shared" ref="V3:V9" si="4">(U3-T3)/SQRT(12)</f>
        <v>0.14433756729740646</v>
      </c>
      <c r="W3" s="195">
        <f t="shared" ref="W3:W28" si="5">($O3*($Q3+$T3+$U3)/3 + $O3*($U3-$T3)/6*0.84162)/1000</f>
        <v>36.510125000000002</v>
      </c>
      <c r="X3" s="168"/>
      <c r="Y3" s="11"/>
    </row>
    <row r="4" spans="1:25" s="2" customFormat="1" ht="30" x14ac:dyDescent="0.25">
      <c r="A4" s="182" t="s">
        <v>90</v>
      </c>
      <c r="B4" s="183">
        <v>3333</v>
      </c>
      <c r="C4" s="184" t="s">
        <v>61</v>
      </c>
      <c r="D4" s="185" t="s">
        <v>91</v>
      </c>
      <c r="E4" s="187" t="s">
        <v>13</v>
      </c>
      <c r="F4" s="199"/>
      <c r="G4" s="184" t="s">
        <v>374</v>
      </c>
      <c r="H4" s="184" t="s">
        <v>155</v>
      </c>
      <c r="I4" s="184" t="s">
        <v>35</v>
      </c>
      <c r="J4" s="184" t="s">
        <v>64</v>
      </c>
      <c r="K4" s="184" t="s">
        <v>35</v>
      </c>
      <c r="L4" s="184" t="s">
        <v>35</v>
      </c>
      <c r="M4" s="196" t="s">
        <v>34</v>
      </c>
      <c r="N4" s="184" t="s">
        <v>92</v>
      </c>
      <c r="O4" s="197">
        <v>2000000</v>
      </c>
      <c r="P4" s="182"/>
      <c r="Q4" s="200">
        <v>0.02</v>
      </c>
      <c r="R4" s="197">
        <f t="shared" si="0"/>
        <v>40000</v>
      </c>
      <c r="S4" s="182">
        <f t="shared" si="1"/>
        <v>0</v>
      </c>
      <c r="T4" s="193">
        <f t="shared" si="2"/>
        <v>0</v>
      </c>
      <c r="U4" s="193">
        <f t="shared" si="3"/>
        <v>0.1</v>
      </c>
      <c r="V4" s="194">
        <f t="shared" si="4"/>
        <v>2.8867513459481291E-2</v>
      </c>
      <c r="W4" s="195">
        <f t="shared" si="5"/>
        <v>108.05400000000002</v>
      </c>
      <c r="X4" s="168"/>
      <c r="Y4" s="11"/>
    </row>
    <row r="5" spans="1:25" s="2" customFormat="1" ht="45.95" customHeight="1" x14ac:dyDescent="0.25">
      <c r="A5" s="182" t="s">
        <v>393</v>
      </c>
      <c r="B5" s="183">
        <v>4589</v>
      </c>
      <c r="C5" s="184" t="s">
        <v>61</v>
      </c>
      <c r="D5" s="185" t="s">
        <v>389</v>
      </c>
      <c r="E5" s="187" t="s">
        <v>381</v>
      </c>
      <c r="F5" s="201">
        <v>20000</v>
      </c>
      <c r="G5" s="184" t="s">
        <v>374</v>
      </c>
      <c r="H5" s="184" t="s">
        <v>33</v>
      </c>
      <c r="I5" s="184" t="s">
        <v>155</v>
      </c>
      <c r="J5" s="184" t="s">
        <v>34</v>
      </c>
      <c r="K5" s="184" t="s">
        <v>155</v>
      </c>
      <c r="L5" s="184" t="s">
        <v>35</v>
      </c>
      <c r="M5" s="196" t="s">
        <v>34</v>
      </c>
      <c r="N5" s="184" t="s">
        <v>390</v>
      </c>
      <c r="O5" s="197">
        <v>400000</v>
      </c>
      <c r="P5" s="187">
        <v>20</v>
      </c>
      <c r="Q5" s="205">
        <v>0.6</v>
      </c>
      <c r="R5" s="197">
        <f t="shared" si="0"/>
        <v>240000</v>
      </c>
      <c r="S5" s="182">
        <f t="shared" si="1"/>
        <v>12</v>
      </c>
      <c r="T5" s="193">
        <f t="shared" si="2"/>
        <v>0.25</v>
      </c>
      <c r="U5" s="193">
        <f t="shared" si="3"/>
        <v>0.75</v>
      </c>
      <c r="V5" s="194">
        <f t="shared" si="4"/>
        <v>0.14433756729740646</v>
      </c>
      <c r="W5" s="195">
        <f t="shared" si="5"/>
        <v>241.38733333333334</v>
      </c>
      <c r="X5" s="168"/>
      <c r="Y5" s="11"/>
    </row>
    <row r="6" spans="1:25" s="2" customFormat="1" ht="30" x14ac:dyDescent="0.25">
      <c r="A6" s="182" t="s">
        <v>394</v>
      </c>
      <c r="B6" s="183">
        <v>4590</v>
      </c>
      <c r="C6" s="184" t="s">
        <v>61</v>
      </c>
      <c r="D6" s="185" t="s">
        <v>391</v>
      </c>
      <c r="E6" s="187" t="s">
        <v>381</v>
      </c>
      <c r="F6" s="201">
        <v>20000</v>
      </c>
      <c r="G6" s="184" t="s">
        <v>374</v>
      </c>
      <c r="H6" s="184" t="s">
        <v>36</v>
      </c>
      <c r="I6" s="184" t="s">
        <v>155</v>
      </c>
      <c r="J6" s="184" t="s">
        <v>33</v>
      </c>
      <c r="K6" s="184" t="s">
        <v>155</v>
      </c>
      <c r="L6" s="184" t="s">
        <v>35</v>
      </c>
      <c r="M6" s="206" t="s">
        <v>33</v>
      </c>
      <c r="N6" s="184" t="s">
        <v>390</v>
      </c>
      <c r="O6" s="197">
        <v>200000</v>
      </c>
      <c r="P6" s="187">
        <v>20</v>
      </c>
      <c r="Q6" s="191">
        <v>0.2</v>
      </c>
      <c r="R6" s="197">
        <f t="shared" si="0"/>
        <v>40000</v>
      </c>
      <c r="S6" s="182">
        <f t="shared" si="1"/>
        <v>4</v>
      </c>
      <c r="T6" s="193">
        <f t="shared" si="2"/>
        <v>0.1</v>
      </c>
      <c r="U6" s="193">
        <f t="shared" si="3"/>
        <v>0.25</v>
      </c>
      <c r="V6" s="194">
        <f t="shared" si="4"/>
        <v>4.3301270189221933E-2</v>
      </c>
      <c r="W6" s="195">
        <f t="shared" si="5"/>
        <v>40.874766666666673</v>
      </c>
      <c r="X6" s="168"/>
      <c r="Y6" s="11"/>
    </row>
    <row r="7" spans="1:25" s="2" customFormat="1" ht="30" x14ac:dyDescent="0.25">
      <c r="A7" s="182" t="s">
        <v>395</v>
      </c>
      <c r="B7" s="183">
        <v>4591</v>
      </c>
      <c r="C7" s="184" t="s">
        <v>121</v>
      </c>
      <c r="D7" s="185" t="s">
        <v>392</v>
      </c>
      <c r="E7" s="187" t="s">
        <v>381</v>
      </c>
      <c r="F7" s="201">
        <v>5000</v>
      </c>
      <c r="G7" s="184" t="s">
        <v>374</v>
      </c>
      <c r="H7" s="184" t="s">
        <v>33</v>
      </c>
      <c r="I7" s="184" t="s">
        <v>155</v>
      </c>
      <c r="J7" s="184" t="s">
        <v>33</v>
      </c>
      <c r="K7" s="184" t="s">
        <v>155</v>
      </c>
      <c r="L7" s="184" t="s">
        <v>35</v>
      </c>
      <c r="M7" s="206" t="s">
        <v>33</v>
      </c>
      <c r="N7" s="184" t="s">
        <v>390</v>
      </c>
      <c r="O7" s="197">
        <v>-110000</v>
      </c>
      <c r="P7" s="187">
        <v>20</v>
      </c>
      <c r="Q7" s="205">
        <v>0.5</v>
      </c>
      <c r="R7" s="197">
        <f t="shared" si="0"/>
        <v>-55000</v>
      </c>
      <c r="S7" s="182">
        <f t="shared" si="1"/>
        <v>10</v>
      </c>
      <c r="T7" s="193">
        <f t="shared" si="2"/>
        <v>0.25</v>
      </c>
      <c r="U7" s="193">
        <f t="shared" si="3"/>
        <v>0.75</v>
      </c>
      <c r="V7" s="194">
        <f t="shared" si="4"/>
        <v>0.14433756729740646</v>
      </c>
      <c r="W7" s="195">
        <f t="shared" si="5"/>
        <v>-62.714849999999998</v>
      </c>
      <c r="X7" s="168"/>
      <c r="Y7" s="11"/>
    </row>
    <row r="8" spans="1:25" s="2" customFormat="1" ht="30" x14ac:dyDescent="0.25">
      <c r="A8" s="182" t="s">
        <v>520</v>
      </c>
      <c r="B8" s="183">
        <v>4592</v>
      </c>
      <c r="C8" s="184" t="s">
        <v>121</v>
      </c>
      <c r="D8" s="207" t="s">
        <v>516</v>
      </c>
      <c r="E8" s="187" t="s">
        <v>381</v>
      </c>
      <c r="F8" s="204"/>
      <c r="G8" s="184" t="s">
        <v>374</v>
      </c>
      <c r="H8" s="184" t="s">
        <v>36</v>
      </c>
      <c r="I8" s="184" t="s">
        <v>35</v>
      </c>
      <c r="J8" s="184" t="s">
        <v>33</v>
      </c>
      <c r="K8" s="184" t="s">
        <v>35</v>
      </c>
      <c r="L8" s="184" t="s">
        <v>35</v>
      </c>
      <c r="M8" s="206" t="s">
        <v>33</v>
      </c>
      <c r="N8" s="208" t="s">
        <v>517</v>
      </c>
      <c r="O8" s="197">
        <v>-166000</v>
      </c>
      <c r="P8" s="187"/>
      <c r="Q8" s="205">
        <v>0.15</v>
      </c>
      <c r="R8" s="197">
        <f t="shared" si="0"/>
        <v>-24900</v>
      </c>
      <c r="S8" s="182">
        <f t="shared" si="1"/>
        <v>0</v>
      </c>
      <c r="T8" s="193">
        <f t="shared" si="2"/>
        <v>0.1</v>
      </c>
      <c r="U8" s="193">
        <f t="shared" si="3"/>
        <v>0.25</v>
      </c>
      <c r="V8" s="194">
        <f t="shared" si="4"/>
        <v>4.3301270189221933E-2</v>
      </c>
      <c r="W8" s="195">
        <f t="shared" si="5"/>
        <v>-31.159389666666669</v>
      </c>
      <c r="X8" s="168"/>
      <c r="Y8" s="11"/>
    </row>
    <row r="9" spans="1:25" s="2" customFormat="1" ht="30" x14ac:dyDescent="0.25">
      <c r="A9" s="182" t="s">
        <v>521</v>
      </c>
      <c r="B9" s="183">
        <v>4593</v>
      </c>
      <c r="C9" s="184" t="s">
        <v>61</v>
      </c>
      <c r="D9" s="185" t="s">
        <v>518</v>
      </c>
      <c r="E9" s="187" t="s">
        <v>381</v>
      </c>
      <c r="F9" s="204"/>
      <c r="G9" s="184" t="s">
        <v>374</v>
      </c>
      <c r="H9" s="184" t="s">
        <v>36</v>
      </c>
      <c r="I9" s="184" t="s">
        <v>35</v>
      </c>
      <c r="J9" s="184" t="s">
        <v>33</v>
      </c>
      <c r="K9" s="184" t="s">
        <v>35</v>
      </c>
      <c r="L9" s="184" t="s">
        <v>35</v>
      </c>
      <c r="M9" s="206" t="s">
        <v>33</v>
      </c>
      <c r="N9" s="184" t="s">
        <v>519</v>
      </c>
      <c r="O9" s="197">
        <v>160000</v>
      </c>
      <c r="P9" s="187"/>
      <c r="Q9" s="205">
        <v>0.1</v>
      </c>
      <c r="R9" s="197">
        <f t="shared" si="0"/>
        <v>16000</v>
      </c>
      <c r="S9" s="182">
        <f t="shared" si="1"/>
        <v>0</v>
      </c>
      <c r="T9" s="193">
        <f t="shared" si="2"/>
        <v>0.1</v>
      </c>
      <c r="U9" s="193">
        <f t="shared" si="3"/>
        <v>0.25</v>
      </c>
      <c r="V9" s="194">
        <f t="shared" si="4"/>
        <v>4.3301270189221933E-2</v>
      </c>
      <c r="W9" s="195">
        <f t="shared" si="5"/>
        <v>27.366479999999999</v>
      </c>
      <c r="X9" s="209" t="e">
        <f>SUM(#REF!)</f>
        <v>#REF!</v>
      </c>
      <c r="Y9" s="11"/>
    </row>
    <row r="10" spans="1:25" s="2" customFormat="1" ht="45" x14ac:dyDescent="0.25">
      <c r="A10" s="182" t="s">
        <v>329</v>
      </c>
      <c r="B10" s="183">
        <v>3834</v>
      </c>
      <c r="C10" s="184" t="s">
        <v>61</v>
      </c>
      <c r="D10" s="210" t="s">
        <v>330</v>
      </c>
      <c r="E10" s="187" t="s">
        <v>350</v>
      </c>
      <c r="F10" s="201">
        <v>100000</v>
      </c>
      <c r="G10" s="184" t="s">
        <v>374</v>
      </c>
      <c r="H10" s="184" t="s">
        <v>33</v>
      </c>
      <c r="I10" s="184" t="s">
        <v>33</v>
      </c>
      <c r="J10" s="184" t="s">
        <v>35</v>
      </c>
      <c r="K10" s="184" t="s">
        <v>34</v>
      </c>
      <c r="L10" s="184" t="s">
        <v>35</v>
      </c>
      <c r="M10" s="196" t="s">
        <v>34</v>
      </c>
      <c r="N10" s="184" t="s">
        <v>331</v>
      </c>
      <c r="O10" s="211">
        <v>0</v>
      </c>
      <c r="P10" s="187">
        <v>40</v>
      </c>
      <c r="Q10" s="205">
        <v>0.5</v>
      </c>
      <c r="R10" s="197"/>
      <c r="S10" s="182">
        <v>20</v>
      </c>
      <c r="T10" s="193">
        <f t="shared" si="2"/>
        <v>0.25</v>
      </c>
      <c r="U10" s="193">
        <f t="shared" si="3"/>
        <v>0.75</v>
      </c>
      <c r="V10" s="194"/>
      <c r="W10" s="195">
        <f t="shared" si="5"/>
        <v>0</v>
      </c>
      <c r="X10" s="168"/>
      <c r="Y10" s="11"/>
    </row>
    <row r="11" spans="1:25" s="2" customFormat="1" ht="30" x14ac:dyDescent="0.25">
      <c r="A11" s="182" t="s">
        <v>272</v>
      </c>
      <c r="B11" s="183">
        <v>3350</v>
      </c>
      <c r="C11" s="184" t="s">
        <v>61</v>
      </c>
      <c r="D11" s="219" t="s">
        <v>396</v>
      </c>
      <c r="E11" s="187" t="s">
        <v>397</v>
      </c>
      <c r="F11" s="186">
        <v>25000</v>
      </c>
      <c r="G11" s="184" t="s">
        <v>374</v>
      </c>
      <c r="H11" s="184" t="s">
        <v>155</v>
      </c>
      <c r="I11" s="184" t="s">
        <v>34</v>
      </c>
      <c r="J11" s="184" t="s">
        <v>64</v>
      </c>
      <c r="K11" s="184" t="s">
        <v>35</v>
      </c>
      <c r="L11" s="184" t="s">
        <v>64</v>
      </c>
      <c r="M11" s="206" t="s">
        <v>33</v>
      </c>
      <c r="N11" s="184" t="s">
        <v>301</v>
      </c>
      <c r="O11" s="211">
        <v>1000000</v>
      </c>
      <c r="P11" s="187">
        <v>260</v>
      </c>
      <c r="Q11" s="205">
        <v>0.01</v>
      </c>
      <c r="R11" s="197">
        <f t="shared" ref="R11:R28" si="6">O11*Q11</f>
        <v>10000</v>
      </c>
      <c r="S11" s="182">
        <f t="shared" ref="S11:S28" si="7">P11*Q11</f>
        <v>2.6</v>
      </c>
      <c r="T11" s="193">
        <f t="shared" si="2"/>
        <v>0</v>
      </c>
      <c r="U11" s="193">
        <f t="shared" si="3"/>
        <v>0.1</v>
      </c>
      <c r="V11" s="193">
        <f t="shared" ref="V11:V28" si="8">(U11-T11)/SQRT(12)</f>
        <v>2.8867513459481291E-2</v>
      </c>
      <c r="W11" s="195">
        <f t="shared" si="5"/>
        <v>50.693666666666665</v>
      </c>
      <c r="X11" s="168"/>
      <c r="Y11" s="12"/>
    </row>
    <row r="12" spans="1:25" s="2" customFormat="1" ht="30" x14ac:dyDescent="0.25">
      <c r="A12" s="182" t="s">
        <v>372</v>
      </c>
      <c r="B12" s="183">
        <v>3954</v>
      </c>
      <c r="C12" s="221" t="s">
        <v>121</v>
      </c>
      <c r="D12" s="222" t="s">
        <v>373</v>
      </c>
      <c r="E12" s="187" t="s">
        <v>368</v>
      </c>
      <c r="F12" s="199"/>
      <c r="G12" s="184" t="s">
        <v>374</v>
      </c>
      <c r="H12" s="184" t="s">
        <v>33</v>
      </c>
      <c r="I12" s="184" t="s">
        <v>35</v>
      </c>
      <c r="J12" s="184" t="s">
        <v>64</v>
      </c>
      <c r="K12" s="184" t="s">
        <v>35</v>
      </c>
      <c r="L12" s="184" t="s">
        <v>35</v>
      </c>
      <c r="M12" s="196" t="s">
        <v>34</v>
      </c>
      <c r="N12" s="208" t="s">
        <v>71</v>
      </c>
      <c r="O12" s="211">
        <v>-2500000</v>
      </c>
      <c r="P12" s="187"/>
      <c r="Q12" s="205">
        <v>0.5</v>
      </c>
      <c r="R12" s="197">
        <f t="shared" si="6"/>
        <v>-1250000</v>
      </c>
      <c r="S12" s="182">
        <f t="shared" si="7"/>
        <v>0</v>
      </c>
      <c r="T12" s="193">
        <f t="shared" si="2"/>
        <v>0.25</v>
      </c>
      <c r="U12" s="193">
        <f t="shared" si="3"/>
        <v>0.75</v>
      </c>
      <c r="V12" s="194">
        <f t="shared" si="8"/>
        <v>0.14433756729740646</v>
      </c>
      <c r="W12" s="195">
        <f t="shared" si="5"/>
        <v>-1425.3375000000001</v>
      </c>
      <c r="X12" s="168"/>
      <c r="Y12" s="11"/>
    </row>
    <row r="13" spans="1:25" s="2" customFormat="1" ht="30" x14ac:dyDescent="0.25">
      <c r="A13" s="223" t="s">
        <v>456</v>
      </c>
      <c r="B13" s="285">
        <v>5038</v>
      </c>
      <c r="C13" s="187" t="s">
        <v>61</v>
      </c>
      <c r="D13" s="230" t="s">
        <v>515</v>
      </c>
      <c r="E13" s="226" t="s">
        <v>350</v>
      </c>
      <c r="F13" s="226"/>
      <c r="G13" s="184" t="s">
        <v>374</v>
      </c>
      <c r="H13" s="227" t="s">
        <v>36</v>
      </c>
      <c r="I13" s="227" t="s">
        <v>36</v>
      </c>
      <c r="J13" s="227" t="s">
        <v>33</v>
      </c>
      <c r="K13" s="227" t="s">
        <v>35</v>
      </c>
      <c r="L13" s="227" t="s">
        <v>35</v>
      </c>
      <c r="M13" s="284"/>
      <c r="N13" s="184" t="s">
        <v>459</v>
      </c>
      <c r="O13" s="232">
        <v>100000</v>
      </c>
      <c r="P13" s="226">
        <v>60</v>
      </c>
      <c r="Q13" s="241">
        <v>0.1</v>
      </c>
      <c r="R13" s="197">
        <f t="shared" si="6"/>
        <v>10000</v>
      </c>
      <c r="S13" s="182">
        <f t="shared" si="7"/>
        <v>6</v>
      </c>
      <c r="T13" s="193">
        <f t="shared" si="2"/>
        <v>0.1</v>
      </c>
      <c r="U13" s="193">
        <f t="shared" si="3"/>
        <v>0.25</v>
      </c>
      <c r="V13" s="194">
        <f t="shared" si="8"/>
        <v>4.3301270189221933E-2</v>
      </c>
      <c r="W13" s="195">
        <f t="shared" si="5"/>
        <v>17.104050000000001</v>
      </c>
      <c r="X13" s="209" t="e">
        <f>SUM(#REF!)</f>
        <v>#REF!</v>
      </c>
      <c r="Y13" s="11"/>
    </row>
    <row r="14" spans="1:25" s="2" customFormat="1" ht="30" x14ac:dyDescent="0.25">
      <c r="A14" s="182" t="s">
        <v>111</v>
      </c>
      <c r="B14" s="183">
        <v>3382</v>
      </c>
      <c r="C14" s="184" t="s">
        <v>61</v>
      </c>
      <c r="D14" s="242" t="s">
        <v>305</v>
      </c>
      <c r="E14" s="187" t="s">
        <v>381</v>
      </c>
      <c r="F14" s="243"/>
      <c r="G14" s="184" t="s">
        <v>374</v>
      </c>
      <c r="H14" s="184" t="s">
        <v>155</v>
      </c>
      <c r="I14" s="184" t="s">
        <v>36</v>
      </c>
      <c r="J14" s="184" t="s">
        <v>36</v>
      </c>
      <c r="K14" s="184" t="s">
        <v>35</v>
      </c>
      <c r="L14" s="184" t="s">
        <v>35</v>
      </c>
      <c r="M14" s="284" t="s">
        <v>36</v>
      </c>
      <c r="N14" s="184" t="s">
        <v>112</v>
      </c>
      <c r="O14" s="197">
        <v>50000</v>
      </c>
      <c r="P14" s="182">
        <v>30</v>
      </c>
      <c r="Q14" s="244">
        <v>0.05</v>
      </c>
      <c r="R14" s="197">
        <f t="shared" si="6"/>
        <v>2500</v>
      </c>
      <c r="S14" s="182">
        <f t="shared" si="7"/>
        <v>1.5</v>
      </c>
      <c r="T14" s="245">
        <f t="shared" si="2"/>
        <v>0</v>
      </c>
      <c r="U14" s="193">
        <f t="shared" si="3"/>
        <v>0.1</v>
      </c>
      <c r="V14" s="194">
        <f t="shared" si="8"/>
        <v>2.8867513459481291E-2</v>
      </c>
      <c r="W14" s="195">
        <f t="shared" si="5"/>
        <v>3.2013500000000006</v>
      </c>
      <c r="X14" s="168"/>
      <c r="Y14" s="11"/>
    </row>
    <row r="15" spans="1:25" s="2" customFormat="1" ht="30" x14ac:dyDescent="0.25">
      <c r="A15" s="182" t="s">
        <v>9</v>
      </c>
      <c r="B15" s="183">
        <v>3383</v>
      </c>
      <c r="C15" s="184" t="s">
        <v>61</v>
      </c>
      <c r="D15" s="242" t="s">
        <v>441</v>
      </c>
      <c r="E15" s="187" t="s">
        <v>381</v>
      </c>
      <c r="F15" s="243"/>
      <c r="G15" s="184" t="s">
        <v>374</v>
      </c>
      <c r="H15" s="184" t="s">
        <v>36</v>
      </c>
      <c r="I15" s="184" t="s">
        <v>34</v>
      </c>
      <c r="J15" s="184" t="s">
        <v>155</v>
      </c>
      <c r="K15" s="184" t="s">
        <v>35</v>
      </c>
      <c r="L15" s="184" t="s">
        <v>35</v>
      </c>
      <c r="M15" s="206" t="s">
        <v>33</v>
      </c>
      <c r="N15" s="184" t="s">
        <v>8</v>
      </c>
      <c r="O15" s="197">
        <v>100000</v>
      </c>
      <c r="P15" s="182">
        <v>250</v>
      </c>
      <c r="Q15" s="244">
        <v>0.05</v>
      </c>
      <c r="R15" s="197">
        <f t="shared" si="6"/>
        <v>5000</v>
      </c>
      <c r="S15" s="182">
        <f t="shared" si="7"/>
        <v>12.5</v>
      </c>
      <c r="T15" s="193">
        <f t="shared" si="2"/>
        <v>0.1</v>
      </c>
      <c r="U15" s="193">
        <f t="shared" si="3"/>
        <v>0.25</v>
      </c>
      <c r="V15" s="194">
        <f t="shared" si="8"/>
        <v>4.3301270189221933E-2</v>
      </c>
      <c r="W15" s="195">
        <f t="shared" si="5"/>
        <v>15.437383333333335</v>
      </c>
      <c r="X15" s="168"/>
      <c r="Y15" s="11"/>
    </row>
    <row r="16" spans="1:25" s="2" customFormat="1" ht="30" x14ac:dyDescent="0.25">
      <c r="A16" s="182" t="s">
        <v>195</v>
      </c>
      <c r="B16" s="183">
        <v>3385</v>
      </c>
      <c r="C16" s="184" t="s">
        <v>61</v>
      </c>
      <c r="D16" s="242" t="s">
        <v>196</v>
      </c>
      <c r="E16" s="187" t="s">
        <v>368</v>
      </c>
      <c r="F16" s="243">
        <v>62000</v>
      </c>
      <c r="G16" s="184" t="s">
        <v>374</v>
      </c>
      <c r="H16" s="184" t="s">
        <v>36</v>
      </c>
      <c r="I16" s="184" t="s">
        <v>35</v>
      </c>
      <c r="J16" s="184" t="s">
        <v>33</v>
      </c>
      <c r="K16" s="184" t="s">
        <v>33</v>
      </c>
      <c r="L16" s="184" t="s">
        <v>35</v>
      </c>
      <c r="M16" s="206" t="s">
        <v>33</v>
      </c>
      <c r="N16" s="184" t="s">
        <v>8</v>
      </c>
      <c r="O16" s="197">
        <v>100000</v>
      </c>
      <c r="P16" s="182"/>
      <c r="Q16" s="244">
        <v>0.25</v>
      </c>
      <c r="R16" s="197">
        <f t="shared" si="6"/>
        <v>25000</v>
      </c>
      <c r="S16" s="182">
        <f t="shared" si="7"/>
        <v>0</v>
      </c>
      <c r="T16" s="193">
        <f t="shared" si="2"/>
        <v>0.1</v>
      </c>
      <c r="U16" s="193">
        <f t="shared" si="3"/>
        <v>0.25</v>
      </c>
      <c r="V16" s="194">
        <f t="shared" si="8"/>
        <v>4.3301270189221933E-2</v>
      </c>
      <c r="W16" s="195">
        <f t="shared" si="5"/>
        <v>22.104050000000001</v>
      </c>
      <c r="X16" s="168"/>
      <c r="Y16" s="11"/>
    </row>
    <row r="17" spans="1:25" s="2" customFormat="1" ht="30" x14ac:dyDescent="0.25">
      <c r="A17" s="182" t="s">
        <v>118</v>
      </c>
      <c r="B17" s="183">
        <v>3390</v>
      </c>
      <c r="C17" s="184" t="s">
        <v>61</v>
      </c>
      <c r="D17" s="242" t="s">
        <v>119</v>
      </c>
      <c r="E17" s="187" t="s">
        <v>368</v>
      </c>
      <c r="F17" s="243">
        <v>5000</v>
      </c>
      <c r="G17" s="184" t="s">
        <v>374</v>
      </c>
      <c r="H17" s="184" t="s">
        <v>36</v>
      </c>
      <c r="I17" s="184" t="s">
        <v>33</v>
      </c>
      <c r="J17" s="184" t="s">
        <v>34</v>
      </c>
      <c r="K17" s="184" t="s">
        <v>36</v>
      </c>
      <c r="L17" s="184" t="s">
        <v>35</v>
      </c>
      <c r="M17" s="206" t="s">
        <v>33</v>
      </c>
      <c r="N17" s="184" t="s">
        <v>8</v>
      </c>
      <c r="O17" s="197">
        <v>500000</v>
      </c>
      <c r="P17" s="182">
        <v>40</v>
      </c>
      <c r="Q17" s="244">
        <v>0.1</v>
      </c>
      <c r="R17" s="197">
        <f t="shared" si="6"/>
        <v>50000</v>
      </c>
      <c r="S17" s="182">
        <f t="shared" si="7"/>
        <v>4</v>
      </c>
      <c r="T17" s="193">
        <f t="shared" si="2"/>
        <v>0.1</v>
      </c>
      <c r="U17" s="193">
        <f t="shared" si="3"/>
        <v>0.25</v>
      </c>
      <c r="V17" s="194">
        <f t="shared" si="8"/>
        <v>4.3301270189221933E-2</v>
      </c>
      <c r="W17" s="195">
        <f t="shared" si="5"/>
        <v>85.520250000000004</v>
      </c>
      <c r="X17" s="168"/>
      <c r="Y17" s="11"/>
    </row>
    <row r="18" spans="1:25" s="2" customFormat="1" ht="30" x14ac:dyDescent="0.25">
      <c r="A18" s="182" t="s">
        <v>6</v>
      </c>
      <c r="B18" s="183">
        <v>3392</v>
      </c>
      <c r="C18" s="184" t="s">
        <v>61</v>
      </c>
      <c r="D18" s="215" t="s">
        <v>7</v>
      </c>
      <c r="E18" s="187" t="s">
        <v>523</v>
      </c>
      <c r="F18" s="186">
        <v>5000</v>
      </c>
      <c r="G18" s="184" t="s">
        <v>374</v>
      </c>
      <c r="H18" s="184" t="s">
        <v>36</v>
      </c>
      <c r="I18" s="184" t="s">
        <v>155</v>
      </c>
      <c r="J18" s="184" t="s">
        <v>155</v>
      </c>
      <c r="K18" s="184" t="s">
        <v>34</v>
      </c>
      <c r="L18" s="184" t="s">
        <v>35</v>
      </c>
      <c r="M18" s="206" t="s">
        <v>33</v>
      </c>
      <c r="N18" s="184" t="s">
        <v>8</v>
      </c>
      <c r="O18" s="211">
        <v>50000</v>
      </c>
      <c r="P18" s="187">
        <v>30</v>
      </c>
      <c r="Q18" s="246">
        <v>0.1</v>
      </c>
      <c r="R18" s="197">
        <f t="shared" si="6"/>
        <v>5000</v>
      </c>
      <c r="S18" s="182">
        <f t="shared" si="7"/>
        <v>3</v>
      </c>
      <c r="T18" s="193">
        <f t="shared" si="2"/>
        <v>0.1</v>
      </c>
      <c r="U18" s="193">
        <f t="shared" si="3"/>
        <v>0.25</v>
      </c>
      <c r="V18" s="194">
        <f t="shared" si="8"/>
        <v>4.3301270189221933E-2</v>
      </c>
      <c r="W18" s="195">
        <f t="shared" si="5"/>
        <v>8.5520250000000004</v>
      </c>
      <c r="X18" s="168"/>
      <c r="Y18" s="11"/>
    </row>
    <row r="19" spans="1:25" s="2" customFormat="1" ht="30" x14ac:dyDescent="0.25">
      <c r="A19" s="182" t="s">
        <v>437</v>
      </c>
      <c r="B19" s="216">
        <v>4445</v>
      </c>
      <c r="C19" s="184" t="s">
        <v>61</v>
      </c>
      <c r="D19" s="230" t="s">
        <v>535</v>
      </c>
      <c r="E19" s="187" t="s">
        <v>381</v>
      </c>
      <c r="F19" s="247">
        <v>5000</v>
      </c>
      <c r="G19" s="184" t="s">
        <v>374</v>
      </c>
      <c r="H19" s="220" t="s">
        <v>33</v>
      </c>
      <c r="I19" s="220" t="s">
        <v>35</v>
      </c>
      <c r="J19" s="220" t="s">
        <v>36</v>
      </c>
      <c r="K19" s="220" t="s">
        <v>33</v>
      </c>
      <c r="L19" s="220" t="s">
        <v>35</v>
      </c>
      <c r="M19" s="206" t="s">
        <v>33</v>
      </c>
      <c r="N19" s="184" t="s">
        <v>8</v>
      </c>
      <c r="O19" s="211">
        <v>50000</v>
      </c>
      <c r="P19" s="187">
        <v>0</v>
      </c>
      <c r="Q19" s="246">
        <v>0.25</v>
      </c>
      <c r="R19" s="197">
        <f t="shared" si="6"/>
        <v>12500</v>
      </c>
      <c r="S19" s="182">
        <f t="shared" si="7"/>
        <v>0</v>
      </c>
      <c r="T19" s="193">
        <f t="shared" si="2"/>
        <v>0.25</v>
      </c>
      <c r="U19" s="193">
        <f t="shared" si="3"/>
        <v>0.75</v>
      </c>
      <c r="V19" s="194">
        <f t="shared" si="8"/>
        <v>0.14433756729740646</v>
      </c>
      <c r="W19" s="195">
        <f t="shared" si="5"/>
        <v>24.340083333333332</v>
      </c>
      <c r="X19" s="168"/>
      <c r="Y19" s="11"/>
    </row>
    <row r="20" spans="1:25" s="2" customFormat="1" ht="30" x14ac:dyDescent="0.25">
      <c r="A20" s="182" t="s">
        <v>439</v>
      </c>
      <c r="B20" s="183">
        <v>4447</v>
      </c>
      <c r="C20" s="184" t="s">
        <v>121</v>
      </c>
      <c r="D20" s="219" t="s">
        <v>536</v>
      </c>
      <c r="E20" s="187" t="s">
        <v>381</v>
      </c>
      <c r="F20" s="184"/>
      <c r="G20" s="184" t="s">
        <v>374</v>
      </c>
      <c r="H20" s="184" t="s">
        <v>33</v>
      </c>
      <c r="I20" s="184" t="s">
        <v>35</v>
      </c>
      <c r="J20" s="184" t="s">
        <v>33</v>
      </c>
      <c r="K20" s="184" t="s">
        <v>35</v>
      </c>
      <c r="L20" s="184" t="s">
        <v>35</v>
      </c>
      <c r="M20" s="206" t="s">
        <v>33</v>
      </c>
      <c r="N20" s="184" t="s">
        <v>8</v>
      </c>
      <c r="O20" s="211">
        <v>-100000</v>
      </c>
      <c r="P20" s="187">
        <v>0</v>
      </c>
      <c r="Q20" s="246">
        <v>0.5</v>
      </c>
      <c r="R20" s="197">
        <f t="shared" si="6"/>
        <v>-50000</v>
      </c>
      <c r="S20" s="182">
        <f t="shared" si="7"/>
        <v>0</v>
      </c>
      <c r="T20" s="193">
        <f t="shared" si="2"/>
        <v>0.25</v>
      </c>
      <c r="U20" s="193">
        <f t="shared" si="3"/>
        <v>0.75</v>
      </c>
      <c r="V20" s="194">
        <f t="shared" si="8"/>
        <v>0.14433756729740646</v>
      </c>
      <c r="W20" s="195">
        <f t="shared" si="5"/>
        <v>-57.013500000000001</v>
      </c>
      <c r="X20" s="168"/>
      <c r="Y20" s="11"/>
    </row>
    <row r="21" spans="1:25" s="2" customFormat="1" ht="45" x14ac:dyDescent="0.25">
      <c r="A21" s="182" t="s">
        <v>440</v>
      </c>
      <c r="B21" s="183">
        <v>4444</v>
      </c>
      <c r="C21" s="184" t="s">
        <v>61</v>
      </c>
      <c r="D21" s="215" t="s">
        <v>537</v>
      </c>
      <c r="E21" s="184" t="s">
        <v>18</v>
      </c>
      <c r="F21" s="184"/>
      <c r="G21" s="184" t="s">
        <v>374</v>
      </c>
      <c r="H21" s="184" t="s">
        <v>33</v>
      </c>
      <c r="I21" s="184" t="s">
        <v>35</v>
      </c>
      <c r="J21" s="184" t="s">
        <v>64</v>
      </c>
      <c r="K21" s="184" t="s">
        <v>33</v>
      </c>
      <c r="L21" s="184" t="s">
        <v>35</v>
      </c>
      <c r="M21" s="196" t="s">
        <v>34</v>
      </c>
      <c r="N21" s="184" t="s">
        <v>8</v>
      </c>
      <c r="O21" s="211">
        <v>1000000</v>
      </c>
      <c r="P21" s="187">
        <v>0</v>
      </c>
      <c r="Q21" s="246">
        <v>0.25</v>
      </c>
      <c r="R21" s="197">
        <f t="shared" si="6"/>
        <v>250000</v>
      </c>
      <c r="S21" s="182">
        <f t="shared" si="7"/>
        <v>0</v>
      </c>
      <c r="T21" s="193">
        <f t="shared" si="2"/>
        <v>0.25</v>
      </c>
      <c r="U21" s="193">
        <f t="shared" si="3"/>
        <v>0.75</v>
      </c>
      <c r="V21" s="194">
        <f t="shared" si="8"/>
        <v>0.14433756729740646</v>
      </c>
      <c r="W21" s="195">
        <f t="shared" si="5"/>
        <v>486.80166666666668</v>
      </c>
      <c r="X21" s="209">
        <f>SUM(W13:W21)</f>
        <v>606.04735833333336</v>
      </c>
      <c r="Y21" s="11"/>
    </row>
    <row r="22" spans="1:25" s="2" customFormat="1" ht="30" x14ac:dyDescent="0.25">
      <c r="A22" s="182" t="s">
        <v>25</v>
      </c>
      <c r="B22" s="183">
        <v>3397</v>
      </c>
      <c r="C22" s="184" t="s">
        <v>121</v>
      </c>
      <c r="D22" s="215" t="s">
        <v>161</v>
      </c>
      <c r="E22" s="184" t="s">
        <v>513</v>
      </c>
      <c r="F22" s="186"/>
      <c r="G22" s="184" t="s">
        <v>374</v>
      </c>
      <c r="H22" s="184" t="s">
        <v>33</v>
      </c>
      <c r="I22" s="184" t="s">
        <v>35</v>
      </c>
      <c r="J22" s="184" t="s">
        <v>36</v>
      </c>
      <c r="K22" s="184" t="s">
        <v>35</v>
      </c>
      <c r="L22" s="184" t="s">
        <v>35</v>
      </c>
      <c r="M22" s="284" t="s">
        <v>36</v>
      </c>
      <c r="N22" s="184" t="s">
        <v>5</v>
      </c>
      <c r="O22" s="211">
        <v>-20000</v>
      </c>
      <c r="P22" s="187"/>
      <c r="Q22" s="246">
        <v>0.25</v>
      </c>
      <c r="R22" s="197">
        <f t="shared" si="6"/>
        <v>-5000</v>
      </c>
      <c r="S22" s="182">
        <f t="shared" si="7"/>
        <v>0</v>
      </c>
      <c r="T22" s="193">
        <f t="shared" si="2"/>
        <v>0.25</v>
      </c>
      <c r="U22" s="193">
        <f t="shared" si="3"/>
        <v>0.75</v>
      </c>
      <c r="V22" s="194">
        <f t="shared" si="8"/>
        <v>0.14433756729740646</v>
      </c>
      <c r="W22" s="195">
        <f t="shared" si="5"/>
        <v>-9.7360333333333351</v>
      </c>
      <c r="X22" s="168"/>
      <c r="Y22" s="11"/>
    </row>
    <row r="23" spans="1:25" s="2" customFormat="1" ht="30" x14ac:dyDescent="0.25">
      <c r="A23" s="182" t="s">
        <v>232</v>
      </c>
      <c r="B23" s="183">
        <v>3398</v>
      </c>
      <c r="C23" s="184" t="s">
        <v>121</v>
      </c>
      <c r="D23" s="215" t="s">
        <v>233</v>
      </c>
      <c r="E23" s="184" t="s">
        <v>513</v>
      </c>
      <c r="F23" s="186"/>
      <c r="G23" s="184" t="s">
        <v>374</v>
      </c>
      <c r="H23" s="184" t="s">
        <v>36</v>
      </c>
      <c r="I23" s="184" t="s">
        <v>35</v>
      </c>
      <c r="J23" s="184" t="s">
        <v>36</v>
      </c>
      <c r="K23" s="184" t="s">
        <v>35</v>
      </c>
      <c r="L23" s="184" t="s">
        <v>35</v>
      </c>
      <c r="M23" s="284" t="s">
        <v>36</v>
      </c>
      <c r="N23" s="184" t="s">
        <v>5</v>
      </c>
      <c r="O23" s="211">
        <v>-40000</v>
      </c>
      <c r="P23" s="187"/>
      <c r="Q23" s="246">
        <v>0.1</v>
      </c>
      <c r="R23" s="197">
        <f t="shared" si="6"/>
        <v>-4000</v>
      </c>
      <c r="S23" s="182">
        <f t="shared" si="7"/>
        <v>0</v>
      </c>
      <c r="T23" s="193">
        <f t="shared" si="2"/>
        <v>0.1</v>
      </c>
      <c r="U23" s="193">
        <f t="shared" si="3"/>
        <v>0.25</v>
      </c>
      <c r="V23" s="194">
        <f t="shared" si="8"/>
        <v>4.3301270189221933E-2</v>
      </c>
      <c r="W23" s="195">
        <f t="shared" si="5"/>
        <v>-6.8416199999999998</v>
      </c>
      <c r="X23" s="168"/>
      <c r="Y23" s="11"/>
    </row>
    <row r="24" spans="1:25" s="2" customFormat="1" ht="30" x14ac:dyDescent="0.25">
      <c r="A24" s="182" t="s">
        <v>184</v>
      </c>
      <c r="B24" s="183">
        <v>3399</v>
      </c>
      <c r="C24" s="184" t="s">
        <v>121</v>
      </c>
      <c r="D24" s="215" t="s">
        <v>185</v>
      </c>
      <c r="E24" s="184" t="s">
        <v>513</v>
      </c>
      <c r="F24" s="186"/>
      <c r="G24" s="184" t="s">
        <v>374</v>
      </c>
      <c r="H24" s="184" t="s">
        <v>36</v>
      </c>
      <c r="I24" s="184" t="s">
        <v>35</v>
      </c>
      <c r="J24" s="184" t="s">
        <v>36</v>
      </c>
      <c r="K24" s="184" t="s">
        <v>35</v>
      </c>
      <c r="L24" s="184" t="s">
        <v>35</v>
      </c>
      <c r="M24" s="284" t="s">
        <v>36</v>
      </c>
      <c r="N24" s="184" t="s">
        <v>5</v>
      </c>
      <c r="O24" s="211">
        <v>-40000</v>
      </c>
      <c r="P24" s="187"/>
      <c r="Q24" s="246">
        <v>0.1</v>
      </c>
      <c r="R24" s="197">
        <f t="shared" si="6"/>
        <v>-4000</v>
      </c>
      <c r="S24" s="182">
        <f t="shared" si="7"/>
        <v>0</v>
      </c>
      <c r="T24" s="193">
        <f t="shared" si="2"/>
        <v>0.1</v>
      </c>
      <c r="U24" s="193">
        <f t="shared" si="3"/>
        <v>0.25</v>
      </c>
      <c r="V24" s="194">
        <f t="shared" si="8"/>
        <v>4.3301270189221933E-2</v>
      </c>
      <c r="W24" s="195">
        <f t="shared" si="5"/>
        <v>-6.8416199999999998</v>
      </c>
      <c r="X24" s="209">
        <f>SUM(W18:W24)</f>
        <v>439.26100166666669</v>
      </c>
      <c r="Y24" s="11"/>
    </row>
    <row r="25" spans="1:25" s="2" customFormat="1" ht="30" x14ac:dyDescent="0.25">
      <c r="A25" s="182" t="s">
        <v>178</v>
      </c>
      <c r="B25" s="183">
        <v>3402</v>
      </c>
      <c r="C25" s="184" t="s">
        <v>61</v>
      </c>
      <c r="D25" s="215" t="s">
        <v>179</v>
      </c>
      <c r="E25" s="187" t="s">
        <v>397</v>
      </c>
      <c r="F25" s="186"/>
      <c r="G25" s="184" t="s">
        <v>374</v>
      </c>
      <c r="H25" s="184" t="s">
        <v>36</v>
      </c>
      <c r="I25" s="184" t="s">
        <v>35</v>
      </c>
      <c r="J25" s="184" t="s">
        <v>36</v>
      </c>
      <c r="K25" s="184" t="s">
        <v>155</v>
      </c>
      <c r="L25" s="184" t="s">
        <v>35</v>
      </c>
      <c r="M25" s="206" t="s">
        <v>33</v>
      </c>
      <c r="N25" s="184" t="s">
        <v>76</v>
      </c>
      <c r="O25" s="211">
        <v>50000</v>
      </c>
      <c r="P25" s="187"/>
      <c r="Q25" s="246">
        <v>0.2</v>
      </c>
      <c r="R25" s="197">
        <f t="shared" si="6"/>
        <v>10000</v>
      </c>
      <c r="S25" s="182">
        <f t="shared" si="7"/>
        <v>0</v>
      </c>
      <c r="T25" s="193">
        <f t="shared" si="2"/>
        <v>0.1</v>
      </c>
      <c r="U25" s="193">
        <f t="shared" si="3"/>
        <v>0.25</v>
      </c>
      <c r="V25" s="194">
        <f t="shared" si="8"/>
        <v>4.3301270189221933E-2</v>
      </c>
      <c r="W25" s="195">
        <f t="shared" si="5"/>
        <v>10.218691666666668</v>
      </c>
      <c r="X25" s="168"/>
      <c r="Y25" s="11"/>
    </row>
    <row r="26" spans="1:25" s="2" customFormat="1" ht="30" x14ac:dyDescent="0.25">
      <c r="A26" s="182" t="s">
        <v>266</v>
      </c>
      <c r="B26" s="183">
        <v>4260</v>
      </c>
      <c r="C26" s="184" t="s">
        <v>61</v>
      </c>
      <c r="D26" s="215" t="s">
        <v>383</v>
      </c>
      <c r="E26" s="184" t="s">
        <v>350</v>
      </c>
      <c r="F26" s="248"/>
      <c r="G26" s="184" t="s">
        <v>374</v>
      </c>
      <c r="H26" s="184" t="s">
        <v>36</v>
      </c>
      <c r="I26" s="184" t="s">
        <v>35</v>
      </c>
      <c r="J26" s="184" t="s">
        <v>36</v>
      </c>
      <c r="K26" s="184" t="s">
        <v>35</v>
      </c>
      <c r="L26" s="184" t="s">
        <v>35</v>
      </c>
      <c r="M26" s="284" t="s">
        <v>36</v>
      </c>
      <c r="N26" s="184" t="s">
        <v>76</v>
      </c>
      <c r="O26" s="211">
        <v>150000</v>
      </c>
      <c r="P26" s="187">
        <v>0</v>
      </c>
      <c r="Q26" s="205">
        <v>0.2</v>
      </c>
      <c r="R26" s="197">
        <f t="shared" si="6"/>
        <v>30000</v>
      </c>
      <c r="S26" s="182">
        <f t="shared" si="7"/>
        <v>0</v>
      </c>
      <c r="T26" s="193">
        <f t="shared" si="2"/>
        <v>0.1</v>
      </c>
      <c r="U26" s="193">
        <f t="shared" si="3"/>
        <v>0.25</v>
      </c>
      <c r="V26" s="194">
        <f t="shared" si="8"/>
        <v>4.3301270189221933E-2</v>
      </c>
      <c r="W26" s="195">
        <f t="shared" si="5"/>
        <v>30.656075000000001</v>
      </c>
      <c r="X26" s="217"/>
      <c r="Y26" s="11"/>
    </row>
    <row r="27" spans="1:25" s="2" customFormat="1" ht="30" x14ac:dyDescent="0.25">
      <c r="A27" s="182" t="s">
        <v>269</v>
      </c>
      <c r="B27" s="183">
        <v>4259</v>
      </c>
      <c r="C27" s="184" t="s">
        <v>121</v>
      </c>
      <c r="D27" s="215" t="s">
        <v>386</v>
      </c>
      <c r="E27" s="184" t="s">
        <v>350</v>
      </c>
      <c r="F27" s="248"/>
      <c r="G27" s="184" t="s">
        <v>374</v>
      </c>
      <c r="H27" s="184" t="s">
        <v>33</v>
      </c>
      <c r="I27" s="184" t="s">
        <v>35</v>
      </c>
      <c r="J27" s="184" t="s">
        <v>36</v>
      </c>
      <c r="K27" s="184" t="s">
        <v>35</v>
      </c>
      <c r="L27" s="184" t="s">
        <v>35</v>
      </c>
      <c r="M27" s="284" t="s">
        <v>36</v>
      </c>
      <c r="N27" s="184" t="s">
        <v>76</v>
      </c>
      <c r="O27" s="211">
        <v>-100000</v>
      </c>
      <c r="P27" s="187">
        <v>0</v>
      </c>
      <c r="Q27" s="205">
        <v>0.5</v>
      </c>
      <c r="R27" s="197">
        <f t="shared" si="6"/>
        <v>-50000</v>
      </c>
      <c r="S27" s="182">
        <f t="shared" si="7"/>
        <v>0</v>
      </c>
      <c r="T27" s="193">
        <f t="shared" si="2"/>
        <v>0.25</v>
      </c>
      <c r="U27" s="193">
        <f t="shared" si="3"/>
        <v>0.75</v>
      </c>
      <c r="V27" s="194">
        <f t="shared" si="8"/>
        <v>0.14433756729740646</v>
      </c>
      <c r="W27" s="195">
        <f t="shared" si="5"/>
        <v>-57.013500000000001</v>
      </c>
      <c r="X27" s="217"/>
      <c r="Y27" s="11"/>
    </row>
    <row r="28" spans="1:25" s="2" customFormat="1" ht="40.5" customHeight="1" x14ac:dyDescent="0.25">
      <c r="A28" s="182" t="s">
        <v>270</v>
      </c>
      <c r="B28" s="183">
        <v>4263</v>
      </c>
      <c r="C28" s="184" t="s">
        <v>121</v>
      </c>
      <c r="D28" s="215" t="s">
        <v>387</v>
      </c>
      <c r="E28" s="184" t="s">
        <v>350</v>
      </c>
      <c r="F28" s="248"/>
      <c r="G28" s="184" t="s">
        <v>374</v>
      </c>
      <c r="H28" s="184" t="s">
        <v>33</v>
      </c>
      <c r="I28" s="184" t="s">
        <v>35</v>
      </c>
      <c r="J28" s="184" t="s">
        <v>36</v>
      </c>
      <c r="K28" s="184" t="s">
        <v>35</v>
      </c>
      <c r="L28" s="184" t="s">
        <v>35</v>
      </c>
      <c r="M28" s="284" t="s">
        <v>36</v>
      </c>
      <c r="N28" s="184" t="s">
        <v>76</v>
      </c>
      <c r="O28" s="211">
        <v>-200000</v>
      </c>
      <c r="P28" s="187">
        <v>0</v>
      </c>
      <c r="Q28" s="205">
        <v>0.5</v>
      </c>
      <c r="R28" s="197">
        <f t="shared" si="6"/>
        <v>-100000</v>
      </c>
      <c r="S28" s="182">
        <f t="shared" si="7"/>
        <v>0</v>
      </c>
      <c r="T28" s="193">
        <f t="shared" si="2"/>
        <v>0.25</v>
      </c>
      <c r="U28" s="193">
        <f t="shared" si="3"/>
        <v>0.75</v>
      </c>
      <c r="V28" s="194">
        <f t="shared" si="8"/>
        <v>0.14433756729740646</v>
      </c>
      <c r="W28" s="195">
        <f t="shared" si="5"/>
        <v>-114.027</v>
      </c>
      <c r="X28" s="217"/>
      <c r="Y28" s="11"/>
    </row>
  </sheetData>
  <customSheetViews>
    <customSheetView guid="{8AF944F7-C3D1-6E48-8544-F246EE5D8D9B}" topLeftCell="A7">
      <selection activeCell="E9" sqref="E9"/>
      <pageMargins left="0.7" right="0.7" top="0.75" bottom="0.75" header="0.3" footer="0.3"/>
    </customSheetView>
    <customSheetView guid="{7D136558-6337-4481-BB09-697594446B4E}" topLeftCell="A7">
      <selection activeCell="E9" sqref="E9"/>
      <pageMargins left="0.7" right="0.7" top="0.75" bottom="0.75" header="0.3" footer="0.3"/>
    </customSheetView>
  </customSheetViews>
  <mergeCells count="4">
    <mergeCell ref="A1:D1"/>
    <mergeCell ref="H1:M1"/>
    <mergeCell ref="T1:W1"/>
    <mergeCell ref="T2:U2"/>
  </mergeCells>
  <conditionalFormatting sqref="C28">
    <cfRule type="cellIs" dxfId="25" priority="1" stopIfTrue="1" operator="equal">
      <formula>"Threat"</formula>
    </cfRule>
    <cfRule type="cellIs" dxfId="24" priority="2" stopIfTrue="1" operator="equal">
      <formula>"Opportunity"</formula>
    </cfRule>
  </conditionalFormatting>
  <conditionalFormatting sqref="C3">
    <cfRule type="cellIs" dxfId="23" priority="25" stopIfTrue="1" operator="equal">
      <formula>"Threat"</formula>
    </cfRule>
    <cfRule type="cellIs" dxfId="22" priority="26" stopIfTrue="1" operator="equal">
      <formula>"Opportunity"</formula>
    </cfRule>
  </conditionalFormatting>
  <conditionalFormatting sqref="C4">
    <cfRule type="cellIs" dxfId="21" priority="23" stopIfTrue="1" operator="equal">
      <formula>"Threat"</formula>
    </cfRule>
    <cfRule type="cellIs" dxfId="20" priority="24" stopIfTrue="1" operator="equal">
      <formula>"Opportunity"</formula>
    </cfRule>
  </conditionalFormatting>
  <conditionalFormatting sqref="C5:C9">
    <cfRule type="cellIs" dxfId="19" priority="21" stopIfTrue="1" operator="equal">
      <formula>"Threat"</formula>
    </cfRule>
    <cfRule type="cellIs" dxfId="18" priority="22" stopIfTrue="1" operator="equal">
      <formula>"Opportunity"</formula>
    </cfRule>
  </conditionalFormatting>
  <conditionalFormatting sqref="C10">
    <cfRule type="cellIs" dxfId="17" priority="19" stopIfTrue="1" operator="equal">
      <formula>"Threat"</formula>
    </cfRule>
    <cfRule type="cellIs" dxfId="16" priority="20" stopIfTrue="1" operator="equal">
      <formula>"Opportunity"</formula>
    </cfRule>
  </conditionalFormatting>
  <conditionalFormatting sqref="C11">
    <cfRule type="cellIs" dxfId="15" priority="17" stopIfTrue="1" operator="equal">
      <formula>"Threat"</formula>
    </cfRule>
    <cfRule type="cellIs" dxfId="14" priority="18" stopIfTrue="1" operator="equal">
      <formula>"Opportunity"</formula>
    </cfRule>
  </conditionalFormatting>
  <conditionalFormatting sqref="C12">
    <cfRule type="cellIs" dxfId="13" priority="15" stopIfTrue="1" operator="equal">
      <formula>"Threat"</formula>
    </cfRule>
    <cfRule type="cellIs" dxfId="12" priority="16" stopIfTrue="1" operator="equal">
      <formula>"Opportunity"</formula>
    </cfRule>
  </conditionalFormatting>
  <conditionalFormatting sqref="C13:C19">
    <cfRule type="cellIs" dxfId="11" priority="13" stopIfTrue="1" operator="equal">
      <formula>"Threat"</formula>
    </cfRule>
    <cfRule type="cellIs" dxfId="10" priority="14" stopIfTrue="1" operator="equal">
      <formula>"Opportunity"</formula>
    </cfRule>
  </conditionalFormatting>
  <conditionalFormatting sqref="C20:C21">
    <cfRule type="cellIs" dxfId="9" priority="11" stopIfTrue="1" operator="equal">
      <formula>"Threat"</formula>
    </cfRule>
    <cfRule type="cellIs" dxfId="8" priority="12" stopIfTrue="1" operator="equal">
      <formula>"Opportunity"</formula>
    </cfRule>
  </conditionalFormatting>
  <conditionalFormatting sqref="C22:C24">
    <cfRule type="cellIs" dxfId="7" priority="9" stopIfTrue="1" operator="equal">
      <formula>"Threat"</formula>
    </cfRule>
    <cfRule type="cellIs" dxfId="6" priority="10" stopIfTrue="1" operator="equal">
      <formula>"Opportunity"</formula>
    </cfRule>
  </conditionalFormatting>
  <conditionalFormatting sqref="C25">
    <cfRule type="cellIs" dxfId="5" priority="7" stopIfTrue="1" operator="equal">
      <formula>"Threat"</formula>
    </cfRule>
    <cfRule type="cellIs" dxfId="4" priority="8" stopIfTrue="1" operator="equal">
      <formula>"Opportunity"</formula>
    </cfRule>
  </conditionalFormatting>
  <conditionalFormatting sqref="C26">
    <cfRule type="cellIs" dxfId="3" priority="5" stopIfTrue="1" operator="equal">
      <formula>"Threat"</formula>
    </cfRule>
    <cfRule type="cellIs" dxfId="2" priority="6" stopIfTrue="1" operator="equal">
      <formula>"Opportunity"</formula>
    </cfRule>
  </conditionalFormatting>
  <conditionalFormatting sqref="C27">
    <cfRule type="cellIs" dxfId="1" priority="3" stopIfTrue="1" operator="equal">
      <formula>"Threat"</formula>
    </cfRule>
    <cfRule type="cellIs" dxfId="0" priority="4" stopIfTrue="1" operator="equal">
      <formula>"Opportunity"</formula>
    </cfRule>
  </conditionalFormatting>
  <dataValidations count="2">
    <dataValidation type="list" allowBlank="1" showInputMessage="1" showErrorMessage="1" sqref="C3:C28">
      <formula1>"Threat,Opportunity"</formula1>
    </dataValidation>
    <dataValidation type="list" allowBlank="1" showInputMessage="1" showErrorMessage="1" sqref="H3:L10 H12:L28">
      <formula1>"VH,H,M,L,VL,N"</formula1>
    </dataValidation>
  </dataValidations>
  <hyperlinks>
    <hyperlink ref="B3" r:id="rId1" display="http://mu2e-docdb.fnal.gov:8080/cgi-bin/ShowDocument?docid=3328"/>
    <hyperlink ref="B4" r:id="rId2" display="http://mu2e-docdb.fnal.gov:8080/cgi-bin/ShowDocument?docid=3333"/>
    <hyperlink ref="B5" r:id="rId3" display="http://mu2e-docdb.fnal.gov:8080/cgi-bin/ShowDocument?docid=4589"/>
    <hyperlink ref="B6" r:id="rId4" display="http://mu2e-docdb.fnal.gov:8080/cgi-bin/ShowDocument?docid=4590"/>
    <hyperlink ref="B7" r:id="rId5" display="http://mu2e-docdb.fnal.gov:8080/cgi-bin/ShowDocument?docid=4591"/>
    <hyperlink ref="B8" r:id="rId6" display="http://mu2e-docdb.fnal.gov:8080/cgi-bin/ShowDocument?docid=4592"/>
    <hyperlink ref="B9" r:id="rId7" display="http://mu2e-docdb.fnal.gov:8080/cgi-bin/ShowDocument?docid=4593"/>
    <hyperlink ref="B10" r:id="rId8" display="http://mu2e-docdb.fnal.gov:8080/cgi-bin/ShowDocument?docid=3834"/>
    <hyperlink ref="B11" r:id="rId9" display="http://mu2e-docdb.fnal.gov:8080/cgi-bin/ShowDocument?docid=3350"/>
    <hyperlink ref="B12" r:id="rId10" display="http://mu2e-docdb.fnal.gov:8080/cgi-bin/ShowDocument?docid=3954"/>
    <hyperlink ref="B18" r:id="rId11" display="http://mu2e-docdb.fnal.gov:8080/cgi-bin/ShowDocument?docid=3392"/>
    <hyperlink ref="B14" r:id="rId12" display="http://mu2e-docdb.fnal.gov:8080/cgi-bin/ShowDocument?docid=3382"/>
    <hyperlink ref="B15" r:id="rId13" display="http://mu2e-docdb.fnal.gov:8080/cgi-bin/ShowDocument?docid=3383"/>
    <hyperlink ref="B17" r:id="rId14" display="http://mu2e-docdb.fnal.gov:8080/cgi-bin/ShowDocument?docid=3390"/>
    <hyperlink ref="B16" r:id="rId15" display="http://mu2e-docdb.fnal.gov:8080/cgi-bin/ShowDocument?docid=3385"/>
    <hyperlink ref="B19" r:id="rId16" display="http://mu2e-docdb.fnal.gov:8080/cgi-bin/ShowDocument?docid=4445"/>
    <hyperlink ref="B13" r:id="rId17" display="http://mu2e-docdb.fnal.gov:8080/cgi-bin/ShowDocument?docid=5038"/>
    <hyperlink ref="B21" r:id="rId18" display="http://mu2e-docdb.fnal.gov:8080/cgi-bin/ShowDocument?docid=4444"/>
    <hyperlink ref="B20" r:id="rId19" display="http://mu2e-docdb.fnal.gov:8080/cgi-bin/ShowDocument?docid=4447"/>
    <hyperlink ref="B22" r:id="rId20" display="http://mu2e-docdb.fnal.gov:8080/cgi-bin/ShowDocument?docid=3397"/>
    <hyperlink ref="B23" r:id="rId21" display="http://mu2e-docdb.fnal.gov:8080/cgi-bin/ShowDocument?docid=3398"/>
    <hyperlink ref="B24" r:id="rId22" display="http://mu2e-docdb.fnal.gov:8080/cgi-bin/ShowDocument?docid=3399"/>
    <hyperlink ref="B25" r:id="rId23" display="http://mu2e-docdb.fnal.gov:8080/cgi-bin/ShowDocument?docid=3402"/>
    <hyperlink ref="B26" r:id="rId24" display="http://mu2e-docdb.fnal.gov:8080/cgi-bin/ShowDocument?docid=4260"/>
    <hyperlink ref="B27" r:id="rId25" display="http://mu2e-docdb.fnal.gov:8080/cgi-bin/ShowDocument?docid=4259"/>
    <hyperlink ref="B28" r:id="rId26" display="http://mu2e-docdb.fnal.gov:8080/cgi-bin/ShowDocument?docid=4263"/>
  </hyperlinks>
  <pageMargins left="0.7" right="0.7" top="0.75" bottom="0.75" header="0.3" footer="0.3"/>
  <legacyDrawing r:id="rId2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6" sqref="D16"/>
    </sheetView>
  </sheetViews>
  <sheetFormatPr defaultColWidth="8.85546875" defaultRowHeight="15" x14ac:dyDescent="0.25"/>
  <cols>
    <col min="4" max="4" width="9.140625" customWidth="1"/>
    <col min="9" max="10" width="9.140625" customWidth="1"/>
  </cols>
  <sheetData/>
  <customSheetViews>
    <customSheetView guid="{8AF944F7-C3D1-6E48-8544-F246EE5D8D9B}">
      <selection activeCell="D16" sqref="D16"/>
      <pageMargins left="0.7" right="0.7" top="0.75" bottom="0.75" header="0.3" footer="0.3"/>
      <pageSetup orientation="portrait"/>
    </customSheetView>
    <customSheetView guid="{7D136558-6337-4481-BB09-697594446B4E}">
      <selection activeCell="D16" sqref="D16"/>
      <pageMargins left="0.7" right="0.7" top="0.75" bottom="0.75" header="0.3" footer="0.3"/>
      <pageSetup orientation="portrait"/>
    </customSheetView>
  </customSheetViews>
  <hyperlinks>
    <hyperlink ref="G16" r:id="rId1" display="http://lbne2-docdb.fnal.gov:8080/cgi-bin/ShowDocument?docid=4847"/>
    <hyperlink ref="G18" r:id="rId2" display="http://lbne2-docdb.fnal.gov:8080/cgi-bin/ShowDocument?docid=4848"/>
    <hyperlink ref="G19" r:id="rId3" display="http://lbne2-docdb.fnal.gov:8080/cgi-bin/ShowDocument?docid=6347"/>
    <hyperlink ref="G17" r:id="rId4" display="http://lbne2-docdb.fnal.gov:8080/cgi-bin/ShowDocument?docid=9204"/>
    <hyperlink ref="G22" r:id="rId5" display="http://lbne2-docdb.fnal.gov:8080/cgi-bin/ShowDocument?docid=9203"/>
    <hyperlink ref="G20" r:id="rId6" display="http://lbne2-docdb.fnal.gov:8080/cgi-bin/ShowDocument?docid=9205"/>
    <hyperlink ref="G21" r:id="rId7" display="http://lbne2-docdb.fnal.gov:8080/cgi-bin/ShowDocument?docid=4853"/>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94"/>
  <sheetViews>
    <sheetView topLeftCell="F3" zoomScale="90" zoomScaleNormal="90" zoomScalePageLayoutView="90" workbookViewId="0">
      <pane ySplit="3" topLeftCell="A81" activePane="bottomLeft" state="frozenSplit"/>
      <selection activeCell="A3" sqref="A3"/>
      <selection pane="bottomLeft" activeCell="W91" sqref="W91"/>
    </sheetView>
  </sheetViews>
  <sheetFormatPr defaultColWidth="9.140625" defaultRowHeight="15" x14ac:dyDescent="0.25"/>
  <cols>
    <col min="1" max="1" width="13.85546875" style="168" customWidth="1"/>
    <col min="2" max="3" width="12" style="168" customWidth="1"/>
    <col min="4" max="4" width="25.7109375" style="250" customWidth="1"/>
    <col min="5" max="5" width="12.140625" style="168" customWidth="1"/>
    <col min="6" max="6" width="14.85546875" style="168" customWidth="1"/>
    <col min="7" max="7" width="13.7109375" style="168" customWidth="1"/>
    <col min="8" max="8" width="9.140625" style="168"/>
    <col min="9" max="9" width="12.140625" style="168" customWidth="1"/>
    <col min="10" max="10" width="9.140625" style="168"/>
    <col min="11" max="11" width="9.140625" style="168" customWidth="1"/>
    <col min="12" max="12" width="9.140625" style="168"/>
    <col min="13" max="13" width="9.140625" style="168" customWidth="1"/>
    <col min="14" max="14" width="15" style="168" customWidth="1"/>
    <col min="15" max="15" width="16" style="168" customWidth="1"/>
    <col min="16" max="17" width="10.42578125" style="168" customWidth="1"/>
    <col min="18" max="19" width="13.7109375" style="168" customWidth="1"/>
    <col min="20" max="20" width="11.42578125" style="168" customWidth="1"/>
    <col min="21" max="21" width="12" style="168" customWidth="1"/>
    <col min="22" max="22" width="8.28515625" style="168" customWidth="1"/>
    <col min="23" max="23" width="15.85546875" style="168" customWidth="1"/>
    <col min="24" max="24" width="16" style="168" customWidth="1"/>
    <col min="25" max="25" width="11.85546875" style="168" customWidth="1"/>
    <col min="26" max="26" width="10.140625" style="168" customWidth="1"/>
    <col min="27" max="27" width="53" customWidth="1"/>
    <col min="28" max="28" width="7.42578125" customWidth="1"/>
    <col min="30" max="30" width="9.28515625" customWidth="1"/>
  </cols>
  <sheetData>
    <row r="1" spans="1:27" s="2" customFormat="1" ht="45.75" thickBot="1" x14ac:dyDescent="0.3">
      <c r="A1" s="163"/>
      <c r="B1" s="163"/>
      <c r="C1" s="163"/>
      <c r="D1" s="164"/>
      <c r="E1" s="163"/>
      <c r="F1" s="163"/>
      <c r="G1" s="163"/>
      <c r="H1" s="163"/>
      <c r="I1" s="163"/>
      <c r="J1" s="163"/>
      <c r="K1" s="163"/>
      <c r="L1" s="163"/>
      <c r="M1" s="163"/>
      <c r="N1" s="163"/>
      <c r="O1" s="165"/>
      <c r="P1" s="165"/>
      <c r="Q1" s="165"/>
      <c r="R1" s="165"/>
      <c r="S1" s="165"/>
      <c r="T1" s="166" t="s">
        <v>52</v>
      </c>
      <c r="U1" s="167" t="s">
        <v>49</v>
      </c>
      <c r="V1" s="167"/>
      <c r="W1" s="167"/>
      <c r="X1" s="167"/>
      <c r="Y1" s="167"/>
      <c r="Z1" s="168"/>
    </row>
    <row r="2" spans="1:27" s="2" customFormat="1" x14ac:dyDescent="0.25">
      <c r="A2" s="163"/>
      <c r="B2" s="163"/>
      <c r="C2" s="163"/>
      <c r="D2" s="164"/>
      <c r="E2" s="163"/>
      <c r="F2" s="163"/>
      <c r="G2" s="163"/>
      <c r="H2" s="163"/>
      <c r="I2" s="163"/>
      <c r="J2" s="163"/>
      <c r="K2" s="163"/>
      <c r="L2" s="163"/>
      <c r="M2" s="163"/>
      <c r="N2" s="163"/>
      <c r="O2" s="165"/>
      <c r="P2" s="165"/>
      <c r="Q2" s="165"/>
      <c r="R2" s="165"/>
      <c r="S2" s="165"/>
      <c r="T2" s="163"/>
      <c r="U2" s="163"/>
      <c r="V2" s="163"/>
      <c r="W2" s="163"/>
      <c r="X2" s="163"/>
      <c r="Y2" s="163"/>
      <c r="Z2" s="168"/>
    </row>
    <row r="3" spans="1:27" s="2" customFormat="1" ht="15.75" thickBot="1" x14ac:dyDescent="0.3">
      <c r="A3" s="169" t="s">
        <v>429</v>
      </c>
      <c r="B3" s="163"/>
      <c r="C3" s="163" t="s">
        <v>609</v>
      </c>
      <c r="D3" s="164"/>
      <c r="E3" s="163"/>
      <c r="F3" s="170"/>
      <c r="G3" s="163"/>
      <c r="H3" s="163"/>
      <c r="I3" s="163"/>
      <c r="J3" s="163"/>
      <c r="K3" s="163"/>
      <c r="L3" s="163"/>
      <c r="M3" s="163"/>
      <c r="N3" s="163"/>
      <c r="O3" s="165"/>
      <c r="P3" s="165"/>
      <c r="Q3" s="165"/>
      <c r="R3" s="165"/>
      <c r="S3" s="165"/>
      <c r="T3" s="163"/>
      <c r="U3" s="163"/>
      <c r="V3" s="163"/>
      <c r="W3" s="163"/>
      <c r="X3" s="163"/>
      <c r="Y3" s="163"/>
      <c r="Z3" s="168"/>
    </row>
    <row r="4" spans="1:27" s="3" customFormat="1" ht="23.25" customHeight="1" thickBot="1" x14ac:dyDescent="0.3">
      <c r="A4" s="374" t="s">
        <v>26</v>
      </c>
      <c r="B4" s="375"/>
      <c r="C4" s="376"/>
      <c r="D4" s="376"/>
      <c r="E4" s="171"/>
      <c r="F4" s="171"/>
      <c r="G4" s="171"/>
      <c r="H4" s="377" t="s">
        <v>54</v>
      </c>
      <c r="I4" s="377"/>
      <c r="J4" s="377"/>
      <c r="K4" s="377"/>
      <c r="L4" s="377"/>
      <c r="M4" s="377"/>
      <c r="N4" s="171"/>
      <c r="O4" s="172"/>
      <c r="P4" s="172"/>
      <c r="Q4" s="172"/>
      <c r="R4" s="172"/>
      <c r="S4" s="172"/>
      <c r="T4" s="372" t="s">
        <v>371</v>
      </c>
      <c r="U4" s="373"/>
      <c r="V4" s="373"/>
      <c r="W4" s="373"/>
      <c r="X4" s="373"/>
      <c r="Y4" s="373"/>
      <c r="Z4" s="168"/>
      <c r="AA4" s="26" t="s">
        <v>32</v>
      </c>
    </row>
    <row r="5" spans="1:27" s="139" customFormat="1" ht="83.1" customHeight="1" thickBot="1" x14ac:dyDescent="0.3">
      <c r="A5" s="173" t="s">
        <v>425</v>
      </c>
      <c r="B5" s="174" t="s">
        <v>426</v>
      </c>
      <c r="C5" s="175" t="s">
        <v>56</v>
      </c>
      <c r="D5" s="176" t="s">
        <v>28</v>
      </c>
      <c r="E5" s="175" t="s">
        <v>309</v>
      </c>
      <c r="F5" s="175" t="s">
        <v>427</v>
      </c>
      <c r="G5" s="175" t="s">
        <v>428</v>
      </c>
      <c r="H5" s="177" t="s">
        <v>30</v>
      </c>
      <c r="I5" s="177" t="s">
        <v>57</v>
      </c>
      <c r="J5" s="177" t="s">
        <v>31</v>
      </c>
      <c r="K5" s="177" t="s">
        <v>58</v>
      </c>
      <c r="L5" s="177" t="s">
        <v>545</v>
      </c>
      <c r="M5" s="177" t="s">
        <v>59</v>
      </c>
      <c r="N5" s="175" t="s">
        <v>29</v>
      </c>
      <c r="O5" s="178" t="s">
        <v>41</v>
      </c>
      <c r="P5" s="179" t="s">
        <v>42</v>
      </c>
      <c r="Q5" s="179" t="s">
        <v>43</v>
      </c>
      <c r="R5" s="179" t="s">
        <v>50</v>
      </c>
      <c r="S5" s="180" t="s">
        <v>51</v>
      </c>
      <c r="T5" s="370" t="s">
        <v>44</v>
      </c>
      <c r="U5" s="371"/>
      <c r="V5" s="181" t="s">
        <v>45</v>
      </c>
      <c r="W5" s="181" t="s">
        <v>522</v>
      </c>
      <c r="X5" s="181" t="s">
        <v>53</v>
      </c>
      <c r="Y5" s="181" t="s">
        <v>46</v>
      </c>
      <c r="Z5" s="168"/>
      <c r="AA5" s="138"/>
    </row>
    <row r="6" spans="1:27" s="2" customFormat="1" ht="30" x14ac:dyDescent="0.25">
      <c r="A6" s="182" t="s">
        <v>96</v>
      </c>
      <c r="B6" s="183">
        <v>3328</v>
      </c>
      <c r="C6" s="184" t="s">
        <v>61</v>
      </c>
      <c r="D6" s="185" t="s">
        <v>97</v>
      </c>
      <c r="E6" s="184" t="s">
        <v>513</v>
      </c>
      <c r="F6" s="186"/>
      <c r="G6" s="184" t="s">
        <v>374</v>
      </c>
      <c r="H6" s="187" t="s">
        <v>33</v>
      </c>
      <c r="I6" s="184" t="s">
        <v>36</v>
      </c>
      <c r="J6" s="184" t="s">
        <v>35</v>
      </c>
      <c r="K6" s="184" t="s">
        <v>35</v>
      </c>
      <c r="L6" s="184" t="s">
        <v>35</v>
      </c>
      <c r="M6" s="188" t="s">
        <v>36</v>
      </c>
      <c r="N6" s="184" t="s">
        <v>74</v>
      </c>
      <c r="O6" s="189">
        <v>75000</v>
      </c>
      <c r="P6" s="190">
        <v>60</v>
      </c>
      <c r="Q6" s="191">
        <v>0.25</v>
      </c>
      <c r="R6" s="189">
        <f>O6*Q6</f>
        <v>18750</v>
      </c>
      <c r="S6" s="192">
        <f>P6*Q6</f>
        <v>15</v>
      </c>
      <c r="T6" s="193">
        <f>IF(H6="VL",0,IF(H6="L",0.1,IF(H6="M",0.25,IF(H6="H",0.75,IF(H6="VH",0.9,1)))))</f>
        <v>0.25</v>
      </c>
      <c r="U6" s="193">
        <f>IF(H6="VL",0.1,IF(H6="L",0.25,IF(H6="M",0.75,IF(H6="H",0.9,IF(H6="VH",1,1)))))</f>
        <v>0.75</v>
      </c>
      <c r="V6" s="194">
        <f>(U6-T6)/SQRT(12)</f>
        <v>0.14433756729740646</v>
      </c>
      <c r="W6" s="195">
        <f>($O6*($Q6+$T6+$U6)/3 + $O6*($U6-$T6)/6*0.84162)/1000</f>
        <v>36.510125000000002</v>
      </c>
      <c r="X6" s="195">
        <f>($O6*($Q6+$T6+$U6)/3 + $O6*($U6-$T6)/6*1.036)/1000</f>
        <v>37.725000000000001</v>
      </c>
      <c r="Y6" s="195">
        <f>($O6*($Q6+$T6+$U6)/3 + $O6*($U6-$T6)/6*1.28)/1000</f>
        <v>39.25</v>
      </c>
      <c r="Z6" s="168"/>
      <c r="AA6" s="11"/>
    </row>
    <row r="7" spans="1:27" s="2" customFormat="1" ht="30" x14ac:dyDescent="0.25">
      <c r="A7" s="182" t="s">
        <v>83</v>
      </c>
      <c r="B7" s="183">
        <v>3331</v>
      </c>
      <c r="C7" s="184" t="s">
        <v>61</v>
      </c>
      <c r="D7" s="185" t="s">
        <v>84</v>
      </c>
      <c r="E7" s="187" t="s">
        <v>11</v>
      </c>
      <c r="F7" s="186"/>
      <c r="G7" s="184" t="s">
        <v>374</v>
      </c>
      <c r="H7" s="184" t="s">
        <v>36</v>
      </c>
      <c r="I7" s="184" t="s">
        <v>35</v>
      </c>
      <c r="J7" s="184" t="s">
        <v>35</v>
      </c>
      <c r="K7" s="184" t="s">
        <v>64</v>
      </c>
      <c r="L7" s="184" t="s">
        <v>35</v>
      </c>
      <c r="M7" s="196" t="s">
        <v>34</v>
      </c>
      <c r="N7" s="215" t="s">
        <v>12</v>
      </c>
      <c r="O7" s="197">
        <v>185000</v>
      </c>
      <c r="P7" s="182">
        <v>0</v>
      </c>
      <c r="Q7" s="198">
        <v>0.1</v>
      </c>
      <c r="R7" s="197">
        <f>O7*Q7</f>
        <v>18500</v>
      </c>
      <c r="S7" s="182">
        <f>P7*Q7</f>
        <v>0</v>
      </c>
      <c r="T7" s="193">
        <f>IF(H7="VL",0,IF(H7="L",0.1,IF(H7="M",0.25,IF(H7="H",0.75,IF(H7="VH",0.9,1)))))</f>
        <v>0.1</v>
      </c>
      <c r="U7" s="193">
        <f>IF(H7="VL",0.1,IF(H7="L",0.25,IF(H7="M",0.75,IF(H7="H",0.9,IF(H7="VH",1,1)))))</f>
        <v>0.25</v>
      </c>
      <c r="V7" s="194">
        <f>(U7-T7)/SQRT(12)</f>
        <v>4.3301270189221933E-2</v>
      </c>
      <c r="W7" s="195">
        <f>($O7*($Q7+$T7+$U7)/3 + $O7*($U7-$T7)/6*0.84162)/1000</f>
        <v>31.642492499999999</v>
      </c>
      <c r="X7" s="195">
        <f>($O7*($Q7+$T7+$U7)/3 + $O7*($U7-$T7)/6*1.036)/1000</f>
        <v>32.541499999999999</v>
      </c>
      <c r="Y7" s="195">
        <f>($O7*($Q7+$T7+$U7)/3 + $O7*($U7-$T7)/6*1.28)/1000</f>
        <v>33.67</v>
      </c>
      <c r="Z7" s="168"/>
      <c r="AA7" s="11"/>
    </row>
    <row r="9" spans="1:27" s="2" customFormat="1" ht="30" x14ac:dyDescent="0.25">
      <c r="A9" s="182" t="s">
        <v>165</v>
      </c>
      <c r="B9" s="183">
        <v>3344</v>
      </c>
      <c r="C9" s="184" t="s">
        <v>61</v>
      </c>
      <c r="D9" s="185" t="s">
        <v>166</v>
      </c>
      <c r="E9" s="187" t="s">
        <v>510</v>
      </c>
      <c r="F9" s="201">
        <v>100000</v>
      </c>
      <c r="G9" s="184" t="s">
        <v>374</v>
      </c>
      <c r="H9" s="184" t="s">
        <v>36</v>
      </c>
      <c r="I9" s="184" t="s">
        <v>35</v>
      </c>
      <c r="J9" s="184" t="s">
        <v>33</v>
      </c>
      <c r="K9" s="184" t="s">
        <v>35</v>
      </c>
      <c r="L9" s="184" t="s">
        <v>35</v>
      </c>
      <c r="M9" s="202" t="s">
        <v>33</v>
      </c>
      <c r="N9" s="184" t="s">
        <v>167</v>
      </c>
      <c r="O9" s="197">
        <v>175000</v>
      </c>
      <c r="P9" s="182"/>
      <c r="Q9" s="198">
        <v>0.1</v>
      </c>
      <c r="R9" s="197">
        <f t="shared" ref="R9:R16" si="0">O9*Q9</f>
        <v>17500</v>
      </c>
      <c r="S9" s="182">
        <f t="shared" ref="S9:S16" si="1">P9*Q9</f>
        <v>0</v>
      </c>
      <c r="T9" s="193">
        <f t="shared" ref="T9:T33" si="2">IF(H9="VL",0,IF(H9="L",0.1,IF(H9="M",0.25,IF(H9="H",0.75,IF(H9="VH",0.9,1)))))</f>
        <v>0.1</v>
      </c>
      <c r="U9" s="193">
        <f t="shared" ref="U9:U33" si="3">IF(H9="VL",0.1,IF(H9="L",0.25,IF(H9="M",0.75,IF(H9="H",0.9,IF(H9="VH",1,1)))))</f>
        <v>0.25</v>
      </c>
      <c r="V9" s="194">
        <f t="shared" ref="V9:V16" si="4">(U9-T9)/SQRT(12)</f>
        <v>4.3301270189221933E-2</v>
      </c>
      <c r="W9" s="195">
        <f t="shared" ref="W9:W33" si="5">($O9*($Q9+$T9+$U9)/3 + $O9*($U9-$T9)/6*0.84162)/1000</f>
        <v>29.932087500000002</v>
      </c>
      <c r="X9" s="195">
        <f t="shared" ref="X9:X33" si="6">($O9*($Q9+$T9+$U9)/3 + $O9*($U9-$T9)/6*1.036)/1000</f>
        <v>30.782499999999999</v>
      </c>
      <c r="Y9" s="195">
        <f t="shared" ref="Y9:Y33" si="7">($O9*($Q9+$T9+$U9)/3 + $O9*($U9-$T9)/6*1.28)/1000</f>
        <v>31.85</v>
      </c>
      <c r="Z9" s="168"/>
      <c r="AA9" s="11"/>
    </row>
    <row r="10" spans="1:27" s="2" customFormat="1" ht="45" x14ac:dyDescent="0.25">
      <c r="A10" s="182" t="s">
        <v>356</v>
      </c>
      <c r="B10" s="183">
        <v>3833</v>
      </c>
      <c r="C10" s="184" t="s">
        <v>61</v>
      </c>
      <c r="D10" s="185" t="s">
        <v>357</v>
      </c>
      <c r="E10" s="187" t="s">
        <v>362</v>
      </c>
      <c r="F10" s="201">
        <v>100000</v>
      </c>
      <c r="G10" s="184" t="s">
        <v>374</v>
      </c>
      <c r="H10" s="184" t="s">
        <v>155</v>
      </c>
      <c r="I10" s="184" t="s">
        <v>35</v>
      </c>
      <c r="J10" s="184" t="s">
        <v>64</v>
      </c>
      <c r="K10" s="184" t="s">
        <v>33</v>
      </c>
      <c r="L10" s="184" t="s">
        <v>35</v>
      </c>
      <c r="M10" s="196" t="s">
        <v>34</v>
      </c>
      <c r="N10" s="184" t="s">
        <v>358</v>
      </c>
      <c r="O10" s="197">
        <v>3300000</v>
      </c>
      <c r="P10" s="182"/>
      <c r="Q10" s="198">
        <v>0.05</v>
      </c>
      <c r="R10" s="197">
        <f t="shared" si="0"/>
        <v>165000</v>
      </c>
      <c r="S10" s="182">
        <f t="shared" si="1"/>
        <v>0</v>
      </c>
      <c r="T10" s="203">
        <f t="shared" si="2"/>
        <v>0</v>
      </c>
      <c r="U10" s="193">
        <f t="shared" si="3"/>
        <v>0.1</v>
      </c>
      <c r="V10" s="194">
        <f t="shared" si="4"/>
        <v>2.8867513459481291E-2</v>
      </c>
      <c r="W10" s="195">
        <f t="shared" si="5"/>
        <v>211.28910000000005</v>
      </c>
      <c r="X10" s="195">
        <f t="shared" si="6"/>
        <v>221.98000000000002</v>
      </c>
      <c r="Y10" s="195">
        <f t="shared" si="7"/>
        <v>235.40000000000003</v>
      </c>
      <c r="Z10" s="168"/>
      <c r="AA10" s="11"/>
    </row>
    <row r="11" spans="1:27" s="2" customFormat="1" ht="45.95" customHeight="1" x14ac:dyDescent="0.25">
      <c r="A11" s="182" t="s">
        <v>393</v>
      </c>
      <c r="B11" s="183">
        <v>4589</v>
      </c>
      <c r="C11" s="184" t="s">
        <v>61</v>
      </c>
      <c r="D11" s="185" t="s">
        <v>389</v>
      </c>
      <c r="E11" s="187" t="s">
        <v>381</v>
      </c>
      <c r="F11" s="201">
        <v>20000</v>
      </c>
      <c r="G11" s="184" t="s">
        <v>374</v>
      </c>
      <c r="H11" s="184" t="s">
        <v>33</v>
      </c>
      <c r="I11" s="184" t="s">
        <v>155</v>
      </c>
      <c r="J11" s="184" t="s">
        <v>34</v>
      </c>
      <c r="K11" s="184" t="s">
        <v>155</v>
      </c>
      <c r="L11" s="184" t="s">
        <v>35</v>
      </c>
      <c r="M11" s="196" t="s">
        <v>34</v>
      </c>
      <c r="N11" s="184" t="s">
        <v>390</v>
      </c>
      <c r="O11" s="197">
        <v>400000</v>
      </c>
      <c r="P11" s="187">
        <v>20</v>
      </c>
      <c r="Q11" s="205">
        <v>0.6</v>
      </c>
      <c r="R11" s="197">
        <f t="shared" si="0"/>
        <v>240000</v>
      </c>
      <c r="S11" s="182">
        <f t="shared" si="1"/>
        <v>12</v>
      </c>
      <c r="T11" s="193">
        <f t="shared" si="2"/>
        <v>0.25</v>
      </c>
      <c r="U11" s="193">
        <f t="shared" si="3"/>
        <v>0.75</v>
      </c>
      <c r="V11" s="194">
        <f t="shared" si="4"/>
        <v>0.14433756729740646</v>
      </c>
      <c r="W11" s="195">
        <f t="shared" si="5"/>
        <v>241.38733333333334</v>
      </c>
      <c r="X11" s="195">
        <f t="shared" si="6"/>
        <v>247.86666666666667</v>
      </c>
      <c r="Y11" s="195">
        <f t="shared" si="7"/>
        <v>256</v>
      </c>
      <c r="Z11" s="168"/>
      <c r="AA11" s="11"/>
    </row>
    <row r="12" spans="1:27" s="2" customFormat="1" ht="45" x14ac:dyDescent="0.25">
      <c r="A12" s="182" t="s">
        <v>394</v>
      </c>
      <c r="B12" s="183">
        <v>4590</v>
      </c>
      <c r="C12" s="184" t="s">
        <v>61</v>
      </c>
      <c r="D12" s="185" t="s">
        <v>391</v>
      </c>
      <c r="E12" s="187" t="s">
        <v>381</v>
      </c>
      <c r="F12" s="201">
        <v>20000</v>
      </c>
      <c r="G12" s="184" t="s">
        <v>374</v>
      </c>
      <c r="H12" s="184" t="s">
        <v>36</v>
      </c>
      <c r="I12" s="184" t="s">
        <v>155</v>
      </c>
      <c r="J12" s="184" t="s">
        <v>33</v>
      </c>
      <c r="K12" s="184" t="s">
        <v>155</v>
      </c>
      <c r="L12" s="184" t="s">
        <v>35</v>
      </c>
      <c r="M12" s="206" t="s">
        <v>33</v>
      </c>
      <c r="N12" s="184" t="s">
        <v>390</v>
      </c>
      <c r="O12" s="197">
        <v>200000</v>
      </c>
      <c r="P12" s="187">
        <v>20</v>
      </c>
      <c r="Q12" s="191">
        <v>0.2</v>
      </c>
      <c r="R12" s="197">
        <f t="shared" si="0"/>
        <v>40000</v>
      </c>
      <c r="S12" s="182">
        <f t="shared" si="1"/>
        <v>4</v>
      </c>
      <c r="T12" s="193">
        <f t="shared" si="2"/>
        <v>0.1</v>
      </c>
      <c r="U12" s="193">
        <f t="shared" si="3"/>
        <v>0.25</v>
      </c>
      <c r="V12" s="194">
        <f t="shared" si="4"/>
        <v>4.3301270189221933E-2</v>
      </c>
      <c r="W12" s="195">
        <f t="shared" si="5"/>
        <v>40.874766666666673</v>
      </c>
      <c r="X12" s="195">
        <f t="shared" si="6"/>
        <v>41.846666666666671</v>
      </c>
      <c r="Y12" s="195">
        <f t="shared" si="7"/>
        <v>43.06666666666667</v>
      </c>
      <c r="Z12" s="168"/>
      <c r="AA12" s="11"/>
    </row>
    <row r="13" spans="1:27" s="2" customFormat="1" ht="45" x14ac:dyDescent="0.25">
      <c r="A13" s="182" t="s">
        <v>395</v>
      </c>
      <c r="B13" s="183">
        <v>4591</v>
      </c>
      <c r="C13" s="184" t="s">
        <v>121</v>
      </c>
      <c r="D13" s="185" t="s">
        <v>392</v>
      </c>
      <c r="E13" s="187" t="s">
        <v>381</v>
      </c>
      <c r="F13" s="201">
        <v>5000</v>
      </c>
      <c r="G13" s="184" t="s">
        <v>374</v>
      </c>
      <c r="H13" s="184" t="s">
        <v>33</v>
      </c>
      <c r="I13" s="184" t="s">
        <v>155</v>
      </c>
      <c r="J13" s="184" t="s">
        <v>33</v>
      </c>
      <c r="K13" s="184" t="s">
        <v>155</v>
      </c>
      <c r="L13" s="184" t="s">
        <v>35</v>
      </c>
      <c r="M13" s="206" t="s">
        <v>33</v>
      </c>
      <c r="N13" s="184" t="s">
        <v>390</v>
      </c>
      <c r="O13" s="197">
        <v>-110000</v>
      </c>
      <c r="P13" s="187">
        <v>20</v>
      </c>
      <c r="Q13" s="205">
        <v>0.5</v>
      </c>
      <c r="R13" s="197">
        <f t="shared" si="0"/>
        <v>-55000</v>
      </c>
      <c r="S13" s="182">
        <f t="shared" si="1"/>
        <v>10</v>
      </c>
      <c r="T13" s="193">
        <f t="shared" si="2"/>
        <v>0.25</v>
      </c>
      <c r="U13" s="193">
        <f t="shared" si="3"/>
        <v>0.75</v>
      </c>
      <c r="V13" s="194">
        <f t="shared" si="4"/>
        <v>0.14433756729740646</v>
      </c>
      <c r="W13" s="195">
        <f t="shared" si="5"/>
        <v>-62.714849999999998</v>
      </c>
      <c r="X13" s="195">
        <f t="shared" si="6"/>
        <v>-64.49666666666667</v>
      </c>
      <c r="Y13" s="195">
        <f t="shared" si="7"/>
        <v>-66.733333333333334</v>
      </c>
      <c r="Z13" s="168"/>
      <c r="AA13" s="11"/>
    </row>
    <row r="14" spans="1:27" s="2" customFormat="1" ht="45" x14ac:dyDescent="0.25">
      <c r="A14" s="182" t="s">
        <v>520</v>
      </c>
      <c r="B14" s="183">
        <v>4592</v>
      </c>
      <c r="C14" s="184" t="s">
        <v>121</v>
      </c>
      <c r="D14" s="207" t="s">
        <v>516</v>
      </c>
      <c r="E14" s="187" t="s">
        <v>368</v>
      </c>
      <c r="F14" s="204"/>
      <c r="G14" s="184" t="s">
        <v>374</v>
      </c>
      <c r="H14" s="184" t="s">
        <v>36</v>
      </c>
      <c r="I14" s="184" t="s">
        <v>35</v>
      </c>
      <c r="J14" s="184" t="s">
        <v>33</v>
      </c>
      <c r="K14" s="184" t="s">
        <v>35</v>
      </c>
      <c r="L14" s="184" t="s">
        <v>35</v>
      </c>
      <c r="M14" s="206" t="s">
        <v>33</v>
      </c>
      <c r="N14" s="208" t="s">
        <v>517</v>
      </c>
      <c r="O14" s="197">
        <v>-166000</v>
      </c>
      <c r="P14" s="187"/>
      <c r="Q14" s="205">
        <v>0.15</v>
      </c>
      <c r="R14" s="197">
        <f t="shared" si="0"/>
        <v>-24900</v>
      </c>
      <c r="S14" s="182">
        <f t="shared" si="1"/>
        <v>0</v>
      </c>
      <c r="T14" s="193">
        <f t="shared" si="2"/>
        <v>0.1</v>
      </c>
      <c r="U14" s="193">
        <f t="shared" si="3"/>
        <v>0.25</v>
      </c>
      <c r="V14" s="194">
        <f t="shared" si="4"/>
        <v>4.3301270189221933E-2</v>
      </c>
      <c r="W14" s="195">
        <f t="shared" si="5"/>
        <v>-31.159389666666669</v>
      </c>
      <c r="X14" s="195">
        <f t="shared" si="6"/>
        <v>-31.96606666666667</v>
      </c>
      <c r="Y14" s="195">
        <f t="shared" si="7"/>
        <v>-32.978666666666669</v>
      </c>
      <c r="Z14" s="168"/>
      <c r="AA14" s="11"/>
    </row>
    <row r="15" spans="1:27" s="2" customFormat="1" ht="45" x14ac:dyDescent="0.25">
      <c r="A15" s="182" t="s">
        <v>521</v>
      </c>
      <c r="B15" s="183">
        <v>4593</v>
      </c>
      <c r="C15" s="184" t="s">
        <v>61</v>
      </c>
      <c r="D15" s="185" t="s">
        <v>518</v>
      </c>
      <c r="E15" s="187" t="s">
        <v>381</v>
      </c>
      <c r="F15" s="204"/>
      <c r="G15" s="184" t="s">
        <v>374</v>
      </c>
      <c r="H15" s="184" t="s">
        <v>36</v>
      </c>
      <c r="I15" s="184" t="s">
        <v>35</v>
      </c>
      <c r="J15" s="184" t="s">
        <v>33</v>
      </c>
      <c r="K15" s="184" t="s">
        <v>35</v>
      </c>
      <c r="L15" s="184" t="s">
        <v>35</v>
      </c>
      <c r="M15" s="206" t="s">
        <v>33</v>
      </c>
      <c r="N15" s="184" t="s">
        <v>519</v>
      </c>
      <c r="O15" s="197">
        <v>160000</v>
      </c>
      <c r="P15" s="187"/>
      <c r="Q15" s="205">
        <v>0.1</v>
      </c>
      <c r="R15" s="197">
        <f t="shared" si="0"/>
        <v>16000</v>
      </c>
      <c r="S15" s="182">
        <f t="shared" si="1"/>
        <v>0</v>
      </c>
      <c r="T15" s="193">
        <f t="shared" si="2"/>
        <v>0.1</v>
      </c>
      <c r="U15" s="193">
        <f t="shared" si="3"/>
        <v>0.25</v>
      </c>
      <c r="V15" s="194">
        <f t="shared" si="4"/>
        <v>4.3301270189221933E-2</v>
      </c>
      <c r="W15" s="195">
        <f t="shared" si="5"/>
        <v>27.366479999999999</v>
      </c>
      <c r="X15" s="195">
        <f t="shared" si="6"/>
        <v>28.143999999999998</v>
      </c>
      <c r="Y15" s="195">
        <f t="shared" si="7"/>
        <v>29.12</v>
      </c>
      <c r="Z15" s="209">
        <f>SUM(W6:W15)</f>
        <v>525.12814533333346</v>
      </c>
      <c r="AA15" s="11"/>
    </row>
    <row r="16" spans="1:27" s="2" customFormat="1" ht="30" x14ac:dyDescent="0.25">
      <c r="A16" s="182" t="s">
        <v>117</v>
      </c>
      <c r="B16" s="183">
        <v>3347</v>
      </c>
      <c r="C16" s="184" t="s">
        <v>61</v>
      </c>
      <c r="D16" s="185" t="s">
        <v>300</v>
      </c>
      <c r="E16" s="187" t="s">
        <v>510</v>
      </c>
      <c r="F16" s="201"/>
      <c r="G16" s="184" t="s">
        <v>374</v>
      </c>
      <c r="H16" s="184" t="s">
        <v>36</v>
      </c>
      <c r="I16" s="184" t="s">
        <v>35</v>
      </c>
      <c r="J16" s="184" t="s">
        <v>35</v>
      </c>
      <c r="K16" s="184" t="s">
        <v>34</v>
      </c>
      <c r="L16" s="184" t="s">
        <v>35</v>
      </c>
      <c r="M16" s="196" t="s">
        <v>34</v>
      </c>
      <c r="N16" s="184" t="s">
        <v>301</v>
      </c>
      <c r="O16" s="197">
        <v>0</v>
      </c>
      <c r="P16" s="182"/>
      <c r="Q16" s="200">
        <v>0.1</v>
      </c>
      <c r="R16" s="197">
        <f t="shared" si="0"/>
        <v>0</v>
      </c>
      <c r="S16" s="182">
        <f t="shared" si="1"/>
        <v>0</v>
      </c>
      <c r="T16" s="193">
        <f t="shared" si="2"/>
        <v>0.1</v>
      </c>
      <c r="U16" s="193">
        <f t="shared" si="3"/>
        <v>0.25</v>
      </c>
      <c r="V16" s="194">
        <f t="shared" si="4"/>
        <v>4.3301270189221933E-2</v>
      </c>
      <c r="W16" s="195">
        <f t="shared" si="5"/>
        <v>0</v>
      </c>
      <c r="X16" s="195">
        <f t="shared" si="6"/>
        <v>0</v>
      </c>
      <c r="Y16" s="195">
        <f t="shared" si="7"/>
        <v>0</v>
      </c>
      <c r="Z16" s="168"/>
      <c r="AA16" s="11"/>
    </row>
    <row r="17" spans="1:27" s="2" customFormat="1" ht="60" x14ac:dyDescent="0.25">
      <c r="A17" s="182" t="s">
        <v>329</v>
      </c>
      <c r="B17" s="183">
        <v>3834</v>
      </c>
      <c r="C17" s="184" t="s">
        <v>61</v>
      </c>
      <c r="D17" s="210" t="s">
        <v>330</v>
      </c>
      <c r="E17" s="187" t="s">
        <v>350</v>
      </c>
      <c r="F17" s="201">
        <v>100000</v>
      </c>
      <c r="G17" s="184" t="s">
        <v>374</v>
      </c>
      <c r="H17" s="184" t="s">
        <v>33</v>
      </c>
      <c r="I17" s="184" t="s">
        <v>33</v>
      </c>
      <c r="J17" s="184" t="s">
        <v>35</v>
      </c>
      <c r="K17" s="184" t="s">
        <v>34</v>
      </c>
      <c r="L17" s="184" t="s">
        <v>35</v>
      </c>
      <c r="M17" s="196" t="s">
        <v>34</v>
      </c>
      <c r="N17" s="184" t="s">
        <v>331</v>
      </c>
      <c r="O17" s="211">
        <v>0</v>
      </c>
      <c r="P17" s="187">
        <v>40</v>
      </c>
      <c r="Q17" s="205">
        <v>0.5</v>
      </c>
      <c r="R17" s="197"/>
      <c r="S17" s="182">
        <v>20</v>
      </c>
      <c r="T17" s="193">
        <f t="shared" si="2"/>
        <v>0.25</v>
      </c>
      <c r="U17" s="193">
        <f t="shared" si="3"/>
        <v>0.75</v>
      </c>
      <c r="V17" s="194"/>
      <c r="W17" s="195">
        <f t="shared" si="5"/>
        <v>0</v>
      </c>
      <c r="X17" s="195">
        <f t="shared" si="6"/>
        <v>0</v>
      </c>
      <c r="Y17" s="195">
        <f t="shared" si="7"/>
        <v>0</v>
      </c>
      <c r="Z17" s="168"/>
      <c r="AA17" s="11"/>
    </row>
    <row r="18" spans="1:27" s="2" customFormat="1" ht="30" x14ac:dyDescent="0.25">
      <c r="A18" s="182" t="s">
        <v>444</v>
      </c>
      <c r="B18" s="183">
        <v>4468</v>
      </c>
      <c r="C18" s="184" t="s">
        <v>61</v>
      </c>
      <c r="D18" s="210" t="s">
        <v>445</v>
      </c>
      <c r="E18" s="187" t="s">
        <v>355</v>
      </c>
      <c r="F18" s="212"/>
      <c r="G18" s="184" t="s">
        <v>374</v>
      </c>
      <c r="H18" s="184" t="s">
        <v>33</v>
      </c>
      <c r="I18" s="184" t="s">
        <v>35</v>
      </c>
      <c r="J18" s="184" t="s">
        <v>36</v>
      </c>
      <c r="K18" s="184" t="s">
        <v>35</v>
      </c>
      <c r="L18" s="184" t="s">
        <v>35</v>
      </c>
      <c r="M18" s="284" t="s">
        <v>36</v>
      </c>
      <c r="N18" s="184" t="s">
        <v>446</v>
      </c>
      <c r="O18" s="211">
        <v>90000</v>
      </c>
      <c r="P18" s="187">
        <v>0</v>
      </c>
      <c r="Q18" s="205">
        <v>0.5</v>
      </c>
      <c r="R18" s="197">
        <f>O18*Q18</f>
        <v>45000</v>
      </c>
      <c r="S18" s="182">
        <f t="shared" ref="S18:S28" si="8">P18*Q18</f>
        <v>0</v>
      </c>
      <c r="T18" s="213">
        <f t="shared" si="2"/>
        <v>0.25</v>
      </c>
      <c r="U18" s="193">
        <f t="shared" si="3"/>
        <v>0.75</v>
      </c>
      <c r="V18" s="194">
        <f t="shared" ref="V18:V33" si="9">(U18-T18)/SQRT(12)</f>
        <v>0.14433756729740646</v>
      </c>
      <c r="W18" s="195">
        <f t="shared" si="5"/>
        <v>51.312150000000003</v>
      </c>
      <c r="X18" s="195">
        <f t="shared" si="6"/>
        <v>52.77</v>
      </c>
      <c r="Y18" s="195">
        <f t="shared" si="7"/>
        <v>54.6</v>
      </c>
      <c r="Z18" s="214">
        <v>51</v>
      </c>
      <c r="AA18" s="11"/>
    </row>
    <row r="19" spans="1:27" s="2" customFormat="1" ht="30" x14ac:dyDescent="0.25">
      <c r="A19" s="182" t="s">
        <v>131</v>
      </c>
      <c r="B19" s="183">
        <v>3360</v>
      </c>
      <c r="C19" s="184" t="s">
        <v>61</v>
      </c>
      <c r="D19" s="215" t="s">
        <v>132</v>
      </c>
      <c r="E19" s="187" t="s">
        <v>14</v>
      </c>
      <c r="F19" s="186"/>
      <c r="G19" s="184" t="s">
        <v>374</v>
      </c>
      <c r="H19" s="184" t="s">
        <v>33</v>
      </c>
      <c r="I19" s="184" t="s">
        <v>35</v>
      </c>
      <c r="J19" s="184" t="s">
        <v>34</v>
      </c>
      <c r="K19" s="184" t="s">
        <v>35</v>
      </c>
      <c r="L19" s="184" t="s">
        <v>35</v>
      </c>
      <c r="M19" s="196" t="s">
        <v>34</v>
      </c>
      <c r="N19" s="184" t="s">
        <v>113</v>
      </c>
      <c r="O19" s="211">
        <v>400000</v>
      </c>
      <c r="P19" s="187">
        <v>0</v>
      </c>
      <c r="Q19" s="191">
        <v>0.5</v>
      </c>
      <c r="R19" s="197">
        <f>O19*Q19</f>
        <v>200000</v>
      </c>
      <c r="S19" s="182">
        <f t="shared" si="8"/>
        <v>0</v>
      </c>
      <c r="T19" s="193">
        <f t="shared" si="2"/>
        <v>0.25</v>
      </c>
      <c r="U19" s="193">
        <f t="shared" si="3"/>
        <v>0.75</v>
      </c>
      <c r="V19" s="194">
        <f t="shared" si="9"/>
        <v>0.14433756729740646</v>
      </c>
      <c r="W19" s="195">
        <f t="shared" si="5"/>
        <v>228.054</v>
      </c>
      <c r="X19" s="195">
        <f t="shared" si="6"/>
        <v>234.53333333333333</v>
      </c>
      <c r="Y19" s="195">
        <f t="shared" si="7"/>
        <v>242.66666666666669</v>
      </c>
      <c r="Z19" s="217"/>
      <c r="AA19" s="11"/>
    </row>
    <row r="20" spans="1:27" s="2" customFormat="1" ht="45" x14ac:dyDescent="0.25">
      <c r="A20" s="182" t="s">
        <v>318</v>
      </c>
      <c r="B20" s="218">
        <v>3835</v>
      </c>
      <c r="C20" s="184" t="s">
        <v>61</v>
      </c>
      <c r="D20" s="219" t="s">
        <v>216</v>
      </c>
      <c r="E20" s="187" t="s">
        <v>385</v>
      </c>
      <c r="F20" s="186"/>
      <c r="G20" s="184" t="s">
        <v>374</v>
      </c>
      <c r="H20" s="184" t="s">
        <v>33</v>
      </c>
      <c r="I20" s="184" t="s">
        <v>35</v>
      </c>
      <c r="J20" s="184" t="s">
        <v>33</v>
      </c>
      <c r="K20" s="184" t="s">
        <v>33</v>
      </c>
      <c r="L20" s="184" t="s">
        <v>35</v>
      </c>
      <c r="M20" s="206" t="s">
        <v>33</v>
      </c>
      <c r="N20" s="220" t="s">
        <v>215</v>
      </c>
      <c r="O20" s="211">
        <v>200000</v>
      </c>
      <c r="P20" s="187"/>
      <c r="Q20" s="205">
        <v>0.25</v>
      </c>
      <c r="R20" s="197">
        <f>O20*Q20</f>
        <v>50000</v>
      </c>
      <c r="S20" s="182">
        <f t="shared" si="8"/>
        <v>0</v>
      </c>
      <c r="T20" s="193">
        <f t="shared" si="2"/>
        <v>0.25</v>
      </c>
      <c r="U20" s="193">
        <f t="shared" si="3"/>
        <v>0.75</v>
      </c>
      <c r="V20" s="194">
        <f t="shared" si="9"/>
        <v>0.14433756729740646</v>
      </c>
      <c r="W20" s="195">
        <f t="shared" si="5"/>
        <v>97.36033333333333</v>
      </c>
      <c r="X20" s="195">
        <f t="shared" si="6"/>
        <v>100.6</v>
      </c>
      <c r="Y20" s="195">
        <f t="shared" si="7"/>
        <v>104.66666666666666</v>
      </c>
      <c r="Z20" s="168"/>
      <c r="AA20" s="11"/>
    </row>
    <row r="21" spans="1:27" s="2" customFormat="1" ht="30" x14ac:dyDescent="0.25">
      <c r="A21" s="182" t="s">
        <v>319</v>
      </c>
      <c r="B21" s="183">
        <v>3836</v>
      </c>
      <c r="C21" s="184" t="s">
        <v>61</v>
      </c>
      <c r="D21" s="219" t="s">
        <v>328</v>
      </c>
      <c r="E21" s="187" t="s">
        <v>339</v>
      </c>
      <c r="F21" s="186"/>
      <c r="G21" s="184" t="s">
        <v>374</v>
      </c>
      <c r="H21" s="184" t="s">
        <v>33</v>
      </c>
      <c r="I21" s="184" t="s">
        <v>35</v>
      </c>
      <c r="J21" s="184" t="s">
        <v>33</v>
      </c>
      <c r="K21" s="184" t="s">
        <v>33</v>
      </c>
      <c r="L21" s="184" t="s">
        <v>155</v>
      </c>
      <c r="M21" s="206" t="s">
        <v>33</v>
      </c>
      <c r="N21" s="184" t="s">
        <v>113</v>
      </c>
      <c r="O21" s="211">
        <v>250000</v>
      </c>
      <c r="P21" s="187"/>
      <c r="Q21" s="205">
        <v>0.8</v>
      </c>
      <c r="R21" s="197">
        <f>O21*Q21</f>
        <v>200000</v>
      </c>
      <c r="S21" s="182">
        <f t="shared" si="8"/>
        <v>0</v>
      </c>
      <c r="T21" s="193">
        <f t="shared" si="2"/>
        <v>0.25</v>
      </c>
      <c r="U21" s="193">
        <f t="shared" si="3"/>
        <v>0.75</v>
      </c>
      <c r="V21" s="194">
        <f t="shared" si="9"/>
        <v>0.14433756729740646</v>
      </c>
      <c r="W21" s="195">
        <f t="shared" si="5"/>
        <v>167.53375</v>
      </c>
      <c r="X21" s="195">
        <f t="shared" si="6"/>
        <v>171.58333333333334</v>
      </c>
      <c r="Y21" s="195">
        <f t="shared" si="7"/>
        <v>176.66666666666666</v>
      </c>
      <c r="Z21" s="209">
        <f>SUM(W19:W21)</f>
        <v>492.94808333333333</v>
      </c>
      <c r="AA21" s="11"/>
    </row>
    <row r="22" spans="1:27" s="2" customFormat="1" ht="45" x14ac:dyDescent="0.25">
      <c r="A22" s="182" t="s">
        <v>608</v>
      </c>
      <c r="B22" s="358">
        <v>6045</v>
      </c>
      <c r="C22" s="184" t="s">
        <v>61</v>
      </c>
      <c r="D22" s="219" t="s">
        <v>610</v>
      </c>
      <c r="E22" s="187" t="s">
        <v>363</v>
      </c>
      <c r="F22" s="186"/>
      <c r="G22" s="184" t="s">
        <v>374</v>
      </c>
      <c r="H22" s="184" t="s">
        <v>36</v>
      </c>
      <c r="I22" s="184" t="s">
        <v>155</v>
      </c>
      <c r="J22" s="184" t="s">
        <v>36</v>
      </c>
      <c r="K22" s="184" t="s">
        <v>36</v>
      </c>
      <c r="L22" s="184" t="s">
        <v>33</v>
      </c>
      <c r="M22" s="206"/>
      <c r="N22" s="184" t="s">
        <v>611</v>
      </c>
      <c r="O22" s="211">
        <v>300000</v>
      </c>
      <c r="P22" s="187">
        <v>30</v>
      </c>
      <c r="Q22" s="205">
        <v>0.15</v>
      </c>
      <c r="R22" s="197">
        <f>O22*Q22</f>
        <v>45000</v>
      </c>
      <c r="S22" s="182">
        <f t="shared" si="8"/>
        <v>4.5</v>
      </c>
      <c r="T22" s="193">
        <f t="shared" si="2"/>
        <v>0.1</v>
      </c>
      <c r="U22" s="193">
        <f t="shared" si="3"/>
        <v>0.25</v>
      </c>
      <c r="V22" s="194">
        <f t="shared" si="9"/>
        <v>4.3301270189221933E-2</v>
      </c>
      <c r="W22" s="195">
        <f t="shared" si="5"/>
        <v>56.312150000000003</v>
      </c>
      <c r="X22" s="195">
        <f t="shared" si="6"/>
        <v>57.77</v>
      </c>
      <c r="Y22" s="195">
        <f t="shared" si="7"/>
        <v>59.6</v>
      </c>
      <c r="Z22" s="209"/>
      <c r="AA22" s="11"/>
    </row>
    <row r="23" spans="1:27" s="2" customFormat="1" x14ac:dyDescent="0.25">
      <c r="A23" s="182" t="s">
        <v>40</v>
      </c>
      <c r="B23" s="183">
        <v>3363</v>
      </c>
      <c r="C23" s="184" t="s">
        <v>61</v>
      </c>
      <c r="D23" s="215" t="s">
        <v>186</v>
      </c>
      <c r="E23" s="187" t="s">
        <v>365</v>
      </c>
      <c r="F23" s="186"/>
      <c r="G23" s="184" t="s">
        <v>374</v>
      </c>
      <c r="H23" s="184" t="s">
        <v>36</v>
      </c>
      <c r="I23" s="184" t="s">
        <v>33</v>
      </c>
      <c r="J23" s="184" t="s">
        <v>36</v>
      </c>
      <c r="K23" s="184" t="s">
        <v>35</v>
      </c>
      <c r="L23" s="184" t="s">
        <v>35</v>
      </c>
      <c r="M23" s="206" t="s">
        <v>33</v>
      </c>
      <c r="N23" s="184" t="s">
        <v>74</v>
      </c>
      <c r="O23" s="211">
        <v>2545787</v>
      </c>
      <c r="P23" s="187">
        <v>500</v>
      </c>
      <c r="Q23" s="205">
        <v>0.1</v>
      </c>
      <c r="R23" s="197">
        <v>0</v>
      </c>
      <c r="S23" s="182">
        <f t="shared" si="8"/>
        <v>50</v>
      </c>
      <c r="T23" s="193">
        <f t="shared" si="2"/>
        <v>0.1</v>
      </c>
      <c r="U23" s="193">
        <f t="shared" si="3"/>
        <v>0.25</v>
      </c>
      <c r="V23" s="194">
        <f t="shared" si="9"/>
        <v>4.3301270189221933E-2</v>
      </c>
      <c r="W23" s="195">
        <f t="shared" si="5"/>
        <v>435.43268137350003</v>
      </c>
      <c r="X23" s="195">
        <f t="shared" si="6"/>
        <v>447.80393330000004</v>
      </c>
      <c r="Y23" s="195">
        <f t="shared" si="7"/>
        <v>463.33323400000006</v>
      </c>
      <c r="Z23" s="168"/>
      <c r="AA23" s="11"/>
    </row>
    <row r="24" spans="1:27" s="2" customFormat="1" ht="45" x14ac:dyDescent="0.25">
      <c r="A24" s="182" t="s">
        <v>182</v>
      </c>
      <c r="B24" s="216">
        <v>3364</v>
      </c>
      <c r="C24" s="184" t="s">
        <v>61</v>
      </c>
      <c r="D24" s="215" t="s">
        <v>183</v>
      </c>
      <c r="E24" s="187" t="s">
        <v>510</v>
      </c>
      <c r="F24" s="186"/>
      <c r="G24" s="184" t="s">
        <v>374</v>
      </c>
      <c r="H24" s="184" t="s">
        <v>36</v>
      </c>
      <c r="I24" s="184" t="s">
        <v>35</v>
      </c>
      <c r="J24" s="184" t="s">
        <v>34</v>
      </c>
      <c r="K24" s="184" t="s">
        <v>35</v>
      </c>
      <c r="L24" s="184" t="s">
        <v>35</v>
      </c>
      <c r="M24" s="206" t="s">
        <v>33</v>
      </c>
      <c r="N24" s="184" t="s">
        <v>74</v>
      </c>
      <c r="O24" s="211">
        <v>500000</v>
      </c>
      <c r="P24" s="187"/>
      <c r="Q24" s="205">
        <v>0.25</v>
      </c>
      <c r="R24" s="197">
        <f t="shared" ref="R24:R33" si="10">O24*Q24</f>
        <v>125000</v>
      </c>
      <c r="S24" s="182">
        <f t="shared" si="8"/>
        <v>0</v>
      </c>
      <c r="T24" s="193">
        <f t="shared" si="2"/>
        <v>0.1</v>
      </c>
      <c r="U24" s="193">
        <f t="shared" si="3"/>
        <v>0.25</v>
      </c>
      <c r="V24" s="194">
        <f t="shared" si="9"/>
        <v>4.3301270189221933E-2</v>
      </c>
      <c r="W24" s="195">
        <f t="shared" si="5"/>
        <v>110.52025</v>
      </c>
      <c r="X24" s="195">
        <f t="shared" si="6"/>
        <v>112.95</v>
      </c>
      <c r="Y24" s="195">
        <f t="shared" si="7"/>
        <v>116</v>
      </c>
      <c r="Z24" s="168"/>
      <c r="AA24" s="11"/>
    </row>
    <row r="25" spans="1:27" s="2" customFormat="1" ht="60" x14ac:dyDescent="0.25">
      <c r="A25" s="182" t="s">
        <v>37</v>
      </c>
      <c r="B25" s="183">
        <v>3365</v>
      </c>
      <c r="C25" s="184" t="s">
        <v>121</v>
      </c>
      <c r="D25" s="215" t="s">
        <v>164</v>
      </c>
      <c r="E25" s="187" t="s">
        <v>510</v>
      </c>
      <c r="F25" s="186"/>
      <c r="G25" s="184" t="s">
        <v>374</v>
      </c>
      <c r="H25" s="184" t="s">
        <v>36</v>
      </c>
      <c r="I25" s="184" t="s">
        <v>35</v>
      </c>
      <c r="J25" s="184" t="s">
        <v>33</v>
      </c>
      <c r="K25" s="184" t="s">
        <v>35</v>
      </c>
      <c r="L25" s="184" t="s">
        <v>35</v>
      </c>
      <c r="M25" s="206" t="s">
        <v>33</v>
      </c>
      <c r="N25" s="184" t="s">
        <v>74</v>
      </c>
      <c r="O25" s="211">
        <v>-500000</v>
      </c>
      <c r="P25" s="187"/>
      <c r="Q25" s="205">
        <v>0.1</v>
      </c>
      <c r="R25" s="197">
        <f t="shared" si="10"/>
        <v>-50000</v>
      </c>
      <c r="S25" s="182">
        <f t="shared" si="8"/>
        <v>0</v>
      </c>
      <c r="T25" s="193">
        <f t="shared" si="2"/>
        <v>0.1</v>
      </c>
      <c r="U25" s="193">
        <f t="shared" si="3"/>
        <v>0.25</v>
      </c>
      <c r="V25" s="194">
        <f t="shared" si="9"/>
        <v>4.3301270189221933E-2</v>
      </c>
      <c r="W25" s="195">
        <f t="shared" si="5"/>
        <v>-85.520250000000004</v>
      </c>
      <c r="X25" s="195">
        <f t="shared" si="6"/>
        <v>-87.95</v>
      </c>
      <c r="Y25" s="195">
        <f t="shared" si="7"/>
        <v>-91</v>
      </c>
      <c r="Z25" s="168"/>
      <c r="AA25" s="11"/>
    </row>
    <row r="26" spans="1:27" s="2" customFormat="1" ht="41.25" customHeight="1" x14ac:dyDescent="0.25">
      <c r="A26" s="182" t="s">
        <v>72</v>
      </c>
      <c r="B26" s="183">
        <v>3366</v>
      </c>
      <c r="C26" s="184" t="s">
        <v>61</v>
      </c>
      <c r="D26" s="215" t="s">
        <v>443</v>
      </c>
      <c r="E26" s="187" t="s">
        <v>510</v>
      </c>
      <c r="F26" s="186"/>
      <c r="G26" s="184" t="s">
        <v>374</v>
      </c>
      <c r="H26" s="184" t="s">
        <v>33</v>
      </c>
      <c r="I26" s="184" t="s">
        <v>35</v>
      </c>
      <c r="J26" s="184" t="s">
        <v>64</v>
      </c>
      <c r="K26" s="184" t="s">
        <v>35</v>
      </c>
      <c r="L26" s="184" t="s">
        <v>35</v>
      </c>
      <c r="M26" s="196" t="s">
        <v>34</v>
      </c>
      <c r="N26" s="184" t="s">
        <v>74</v>
      </c>
      <c r="O26" s="211">
        <v>1500000</v>
      </c>
      <c r="P26" s="187">
        <v>0</v>
      </c>
      <c r="Q26" s="205">
        <v>0.5</v>
      </c>
      <c r="R26" s="197">
        <f t="shared" si="10"/>
        <v>750000</v>
      </c>
      <c r="S26" s="182">
        <f t="shared" si="8"/>
        <v>0</v>
      </c>
      <c r="T26" s="193">
        <f t="shared" si="2"/>
        <v>0.25</v>
      </c>
      <c r="U26" s="193">
        <f t="shared" si="3"/>
        <v>0.75</v>
      </c>
      <c r="V26" s="193">
        <f t="shared" si="9"/>
        <v>0.14433756729740646</v>
      </c>
      <c r="W26" s="195">
        <f t="shared" si="5"/>
        <v>855.20249999999999</v>
      </c>
      <c r="X26" s="195">
        <f t="shared" si="6"/>
        <v>879.5</v>
      </c>
      <c r="Y26" s="195">
        <f t="shared" si="7"/>
        <v>910</v>
      </c>
      <c r="Z26" s="168"/>
      <c r="AA26" s="11"/>
    </row>
    <row r="27" spans="1:27" s="2" customFormat="1" ht="45" x14ac:dyDescent="0.25">
      <c r="A27" s="182" t="s">
        <v>272</v>
      </c>
      <c r="B27" s="183">
        <v>3350</v>
      </c>
      <c r="C27" s="184" t="s">
        <v>61</v>
      </c>
      <c r="D27" s="219" t="s">
        <v>396</v>
      </c>
      <c r="E27" s="187" t="s">
        <v>397</v>
      </c>
      <c r="F27" s="186">
        <v>25000</v>
      </c>
      <c r="G27" s="184" t="s">
        <v>374</v>
      </c>
      <c r="H27" s="184" t="s">
        <v>155</v>
      </c>
      <c r="I27" s="184" t="s">
        <v>34</v>
      </c>
      <c r="J27" s="184" t="s">
        <v>64</v>
      </c>
      <c r="K27" s="184" t="s">
        <v>35</v>
      </c>
      <c r="L27" s="184" t="s">
        <v>64</v>
      </c>
      <c r="M27" s="206" t="s">
        <v>33</v>
      </c>
      <c r="N27" s="184" t="s">
        <v>301</v>
      </c>
      <c r="O27" s="211">
        <v>1000000</v>
      </c>
      <c r="P27" s="187">
        <v>260</v>
      </c>
      <c r="Q27" s="205">
        <v>0.01</v>
      </c>
      <c r="R27" s="197">
        <f t="shared" si="10"/>
        <v>10000</v>
      </c>
      <c r="S27" s="182">
        <f t="shared" si="8"/>
        <v>2.6</v>
      </c>
      <c r="T27" s="193">
        <f t="shared" si="2"/>
        <v>0</v>
      </c>
      <c r="U27" s="193">
        <f t="shared" si="3"/>
        <v>0.1</v>
      </c>
      <c r="V27" s="193">
        <f t="shared" si="9"/>
        <v>2.8867513459481291E-2</v>
      </c>
      <c r="W27" s="195">
        <f t="shared" si="5"/>
        <v>50.693666666666665</v>
      </c>
      <c r="X27" s="195">
        <f t="shared" si="6"/>
        <v>53.93333333333333</v>
      </c>
      <c r="Y27" s="195">
        <f t="shared" si="7"/>
        <v>58</v>
      </c>
      <c r="Z27" s="168"/>
      <c r="AA27" s="12"/>
    </row>
    <row r="28" spans="1:27" s="2" customFormat="1" ht="30" x14ac:dyDescent="0.25">
      <c r="A28" s="182" t="s">
        <v>310</v>
      </c>
      <c r="B28" s="183">
        <v>3757</v>
      </c>
      <c r="C28" s="184" t="s">
        <v>61</v>
      </c>
      <c r="D28" s="215" t="s">
        <v>311</v>
      </c>
      <c r="E28" s="187" t="s">
        <v>511</v>
      </c>
      <c r="F28" s="186"/>
      <c r="G28" s="184" t="s">
        <v>374</v>
      </c>
      <c r="H28" s="184" t="s">
        <v>36</v>
      </c>
      <c r="I28" s="184" t="s">
        <v>35</v>
      </c>
      <c r="J28" s="184" t="s">
        <v>155</v>
      </c>
      <c r="K28" s="184" t="s">
        <v>35</v>
      </c>
      <c r="L28" s="184" t="s">
        <v>35</v>
      </c>
      <c r="M28" s="284" t="s">
        <v>36</v>
      </c>
      <c r="N28" s="184" t="s">
        <v>74</v>
      </c>
      <c r="O28" s="211">
        <v>100000</v>
      </c>
      <c r="P28" s="187">
        <v>0</v>
      </c>
      <c r="Q28" s="205">
        <v>0.1</v>
      </c>
      <c r="R28" s="197">
        <f t="shared" si="10"/>
        <v>10000</v>
      </c>
      <c r="S28" s="182">
        <f t="shared" si="8"/>
        <v>0</v>
      </c>
      <c r="T28" s="193">
        <f t="shared" si="2"/>
        <v>0.1</v>
      </c>
      <c r="U28" s="193">
        <f t="shared" si="3"/>
        <v>0.25</v>
      </c>
      <c r="V28" s="193">
        <f t="shared" si="9"/>
        <v>4.3301270189221933E-2</v>
      </c>
      <c r="W28" s="195">
        <f t="shared" si="5"/>
        <v>17.104050000000001</v>
      </c>
      <c r="X28" s="195">
        <f t="shared" si="6"/>
        <v>17.59</v>
      </c>
      <c r="Y28" s="195">
        <f t="shared" si="7"/>
        <v>18.2</v>
      </c>
      <c r="Z28" s="217"/>
      <c r="AA28" s="11"/>
    </row>
    <row r="29" spans="1:27" s="2" customFormat="1" ht="30" x14ac:dyDescent="0.25">
      <c r="A29" s="182" t="s">
        <v>366</v>
      </c>
      <c r="B29" s="183">
        <v>3844</v>
      </c>
      <c r="C29" s="184" t="s">
        <v>121</v>
      </c>
      <c r="D29" s="215" t="s">
        <v>367</v>
      </c>
      <c r="E29" s="187" t="s">
        <v>15</v>
      </c>
      <c r="F29" s="186"/>
      <c r="G29" s="184" t="s">
        <v>374</v>
      </c>
      <c r="H29" s="184" t="s">
        <v>36</v>
      </c>
      <c r="I29" s="184" t="s">
        <v>35</v>
      </c>
      <c r="J29" s="184" t="s">
        <v>64</v>
      </c>
      <c r="K29" s="184" t="s">
        <v>35</v>
      </c>
      <c r="L29" s="184" t="s">
        <v>35</v>
      </c>
      <c r="M29" s="196" t="s">
        <v>34</v>
      </c>
      <c r="N29" s="184" t="s">
        <v>74</v>
      </c>
      <c r="O29" s="211">
        <v>-1173000</v>
      </c>
      <c r="P29" s="187"/>
      <c r="Q29" s="205">
        <v>0.1</v>
      </c>
      <c r="R29" s="197">
        <f t="shared" si="10"/>
        <v>-117300</v>
      </c>
      <c r="S29" s="182"/>
      <c r="T29" s="193">
        <f t="shared" si="2"/>
        <v>0.1</v>
      </c>
      <c r="U29" s="193">
        <f t="shared" si="3"/>
        <v>0.25</v>
      </c>
      <c r="V29" s="193">
        <f t="shared" si="9"/>
        <v>4.3301270189221933E-2</v>
      </c>
      <c r="W29" s="195">
        <f t="shared" si="5"/>
        <v>-200.6305065</v>
      </c>
      <c r="X29" s="195">
        <f t="shared" si="6"/>
        <v>-206.33070000000001</v>
      </c>
      <c r="Y29" s="195">
        <f t="shared" si="7"/>
        <v>-213.48599999999999</v>
      </c>
      <c r="Z29" s="217"/>
      <c r="AA29" s="11"/>
    </row>
    <row r="30" spans="1:27" s="2" customFormat="1" ht="30" x14ac:dyDescent="0.25">
      <c r="A30" s="182" t="s">
        <v>369</v>
      </c>
      <c r="B30" s="183">
        <v>3845</v>
      </c>
      <c r="C30" s="184" t="s">
        <v>61</v>
      </c>
      <c r="D30" s="215" t="s">
        <v>370</v>
      </c>
      <c r="E30" s="187" t="s">
        <v>15</v>
      </c>
      <c r="F30" s="186"/>
      <c r="G30" s="184" t="s">
        <v>374</v>
      </c>
      <c r="H30" s="184" t="s">
        <v>36</v>
      </c>
      <c r="I30" s="184" t="s">
        <v>35</v>
      </c>
      <c r="J30" s="184" t="s">
        <v>64</v>
      </c>
      <c r="K30" s="184" t="s">
        <v>35</v>
      </c>
      <c r="L30" s="184" t="s">
        <v>35</v>
      </c>
      <c r="M30" s="196" t="s">
        <v>34</v>
      </c>
      <c r="N30" s="184" t="s">
        <v>74</v>
      </c>
      <c r="O30" s="211">
        <v>1173000</v>
      </c>
      <c r="P30" s="187"/>
      <c r="Q30" s="205">
        <v>0.2</v>
      </c>
      <c r="R30" s="197">
        <f t="shared" si="10"/>
        <v>234600</v>
      </c>
      <c r="S30" s="182"/>
      <c r="T30" s="193">
        <f t="shared" si="2"/>
        <v>0.1</v>
      </c>
      <c r="U30" s="193">
        <f t="shared" si="3"/>
        <v>0.25</v>
      </c>
      <c r="V30" s="193">
        <f t="shared" si="9"/>
        <v>4.3301270189221933E-2</v>
      </c>
      <c r="W30" s="195">
        <f t="shared" si="5"/>
        <v>239.73050649999999</v>
      </c>
      <c r="X30" s="195">
        <f t="shared" si="6"/>
        <v>245.4307</v>
      </c>
      <c r="Y30" s="195">
        <f t="shared" si="7"/>
        <v>252.58600000000001</v>
      </c>
      <c r="Z30" s="209">
        <f>SUM(W23:W30)</f>
        <v>1422.5328980401666</v>
      </c>
      <c r="AA30" s="11"/>
    </row>
    <row r="31" spans="1:27" s="2" customFormat="1" ht="30" x14ac:dyDescent="0.25">
      <c r="A31" s="182" t="s">
        <v>69</v>
      </c>
      <c r="B31" s="183">
        <v>3368</v>
      </c>
      <c r="C31" s="184" t="s">
        <v>61</v>
      </c>
      <c r="D31" s="215" t="s">
        <v>70</v>
      </c>
      <c r="E31" s="184" t="s">
        <v>348</v>
      </c>
      <c r="F31" s="186"/>
      <c r="G31" s="184" t="s">
        <v>374</v>
      </c>
      <c r="H31" s="184" t="s">
        <v>36</v>
      </c>
      <c r="I31" s="184" t="s">
        <v>34</v>
      </c>
      <c r="J31" s="184" t="s">
        <v>64</v>
      </c>
      <c r="K31" s="184" t="s">
        <v>35</v>
      </c>
      <c r="L31" s="184" t="s">
        <v>35</v>
      </c>
      <c r="M31" s="196" t="s">
        <v>34</v>
      </c>
      <c r="N31" s="184" t="s">
        <v>71</v>
      </c>
      <c r="O31" s="211">
        <v>1000000</v>
      </c>
      <c r="P31" s="187">
        <v>60</v>
      </c>
      <c r="Q31" s="205">
        <v>0.2</v>
      </c>
      <c r="R31" s="197">
        <f t="shared" si="10"/>
        <v>200000</v>
      </c>
      <c r="S31" s="182">
        <f>P31*Q31</f>
        <v>12</v>
      </c>
      <c r="T31" s="193">
        <f t="shared" si="2"/>
        <v>0.1</v>
      </c>
      <c r="U31" s="193">
        <f t="shared" si="3"/>
        <v>0.25</v>
      </c>
      <c r="V31" s="194">
        <f t="shared" si="9"/>
        <v>4.3301270189221933E-2</v>
      </c>
      <c r="W31" s="195">
        <f t="shared" si="5"/>
        <v>204.37383333333335</v>
      </c>
      <c r="X31" s="195">
        <f t="shared" si="6"/>
        <v>209.23333333333335</v>
      </c>
      <c r="Y31" s="195">
        <f t="shared" si="7"/>
        <v>215.33333333333334</v>
      </c>
      <c r="Z31" s="168"/>
      <c r="AA31" s="11"/>
    </row>
    <row r="32" spans="1:27" s="2" customFormat="1" ht="45" x14ac:dyDescent="0.25">
      <c r="A32" s="182" t="s">
        <v>170</v>
      </c>
      <c r="B32" s="183">
        <v>3373</v>
      </c>
      <c r="C32" s="184" t="s">
        <v>61</v>
      </c>
      <c r="D32" s="215" t="s">
        <v>171</v>
      </c>
      <c r="E32" s="184" t="s">
        <v>348</v>
      </c>
      <c r="F32" s="186">
        <v>100000</v>
      </c>
      <c r="G32" s="184" t="s">
        <v>374</v>
      </c>
      <c r="H32" s="184" t="s">
        <v>36</v>
      </c>
      <c r="I32" s="184" t="s">
        <v>35</v>
      </c>
      <c r="J32" s="184" t="s">
        <v>36</v>
      </c>
      <c r="K32" s="184" t="s">
        <v>36</v>
      </c>
      <c r="L32" s="184" t="s">
        <v>33</v>
      </c>
      <c r="M32" s="206" t="s">
        <v>33</v>
      </c>
      <c r="N32" s="184" t="s">
        <v>172</v>
      </c>
      <c r="O32" s="211">
        <v>100000</v>
      </c>
      <c r="P32" s="187"/>
      <c r="Q32" s="205">
        <v>0.2</v>
      </c>
      <c r="R32" s="197">
        <f t="shared" si="10"/>
        <v>20000</v>
      </c>
      <c r="S32" s="182">
        <f>P32*Q32</f>
        <v>0</v>
      </c>
      <c r="T32" s="193">
        <f t="shared" si="2"/>
        <v>0.1</v>
      </c>
      <c r="U32" s="193">
        <f t="shared" si="3"/>
        <v>0.25</v>
      </c>
      <c r="V32" s="194">
        <f t="shared" si="9"/>
        <v>4.3301270189221933E-2</v>
      </c>
      <c r="W32" s="195">
        <f t="shared" si="5"/>
        <v>20.437383333333337</v>
      </c>
      <c r="X32" s="195">
        <f t="shared" si="6"/>
        <v>20.923333333333336</v>
      </c>
      <c r="Y32" s="195">
        <f t="shared" si="7"/>
        <v>21.533333333333335</v>
      </c>
      <c r="Z32" s="168"/>
      <c r="AA32" s="11"/>
    </row>
    <row r="33" spans="1:27" s="2" customFormat="1" ht="60" x14ac:dyDescent="0.25">
      <c r="A33" s="182" t="s">
        <v>332</v>
      </c>
      <c r="B33" s="183">
        <v>3837</v>
      </c>
      <c r="C33" s="184" t="s">
        <v>61</v>
      </c>
      <c r="D33" s="219" t="s">
        <v>334</v>
      </c>
      <c r="E33" s="187" t="s">
        <v>16</v>
      </c>
      <c r="F33" s="186"/>
      <c r="G33" s="184" t="s">
        <v>374</v>
      </c>
      <c r="H33" s="184" t="s">
        <v>33</v>
      </c>
      <c r="I33" s="184" t="s">
        <v>35</v>
      </c>
      <c r="J33" s="184" t="s">
        <v>34</v>
      </c>
      <c r="K33" s="184" t="s">
        <v>35</v>
      </c>
      <c r="L33" s="184" t="s">
        <v>35</v>
      </c>
      <c r="M33" s="196" t="s">
        <v>34</v>
      </c>
      <c r="N33" s="219" t="s">
        <v>17</v>
      </c>
      <c r="O33" s="211">
        <v>300000</v>
      </c>
      <c r="P33" s="187"/>
      <c r="Q33" s="205">
        <v>0.5</v>
      </c>
      <c r="R33" s="197">
        <f t="shared" si="10"/>
        <v>150000</v>
      </c>
      <c r="S33" s="182">
        <f>P33*Q33</f>
        <v>0</v>
      </c>
      <c r="T33" s="193">
        <f t="shared" si="2"/>
        <v>0.25</v>
      </c>
      <c r="U33" s="193">
        <f t="shared" si="3"/>
        <v>0.75</v>
      </c>
      <c r="V33" s="194">
        <f t="shared" si="9"/>
        <v>0.14433756729740646</v>
      </c>
      <c r="W33" s="195">
        <f t="shared" si="5"/>
        <v>171.04050000000001</v>
      </c>
      <c r="X33" s="195">
        <f t="shared" si="6"/>
        <v>175.9</v>
      </c>
      <c r="Y33" s="195">
        <f t="shared" si="7"/>
        <v>182</v>
      </c>
      <c r="Z33" s="168"/>
      <c r="AA33" s="11"/>
    </row>
    <row r="35" spans="1:27" s="2" customFormat="1" ht="30" x14ac:dyDescent="0.25">
      <c r="A35" s="223" t="s">
        <v>457</v>
      </c>
      <c r="B35" s="224">
        <v>4556</v>
      </c>
      <c r="C35" s="187" t="s">
        <v>61</v>
      </c>
      <c r="D35" s="225" t="s">
        <v>458</v>
      </c>
      <c r="E35" s="226" t="s">
        <v>514</v>
      </c>
      <c r="F35" s="186">
        <v>700000</v>
      </c>
      <c r="G35" s="184" t="s">
        <v>374</v>
      </c>
      <c r="H35" s="227" t="s">
        <v>155</v>
      </c>
      <c r="I35" s="227" t="s">
        <v>34</v>
      </c>
      <c r="J35" s="227" t="s">
        <v>35</v>
      </c>
      <c r="K35" s="227" t="s">
        <v>35</v>
      </c>
      <c r="L35" s="227" t="s">
        <v>36</v>
      </c>
      <c r="M35" s="284" t="s">
        <v>36</v>
      </c>
      <c r="N35" s="184" t="s">
        <v>459</v>
      </c>
      <c r="O35" s="228">
        <v>2000000</v>
      </c>
      <c r="P35" s="226">
        <v>250</v>
      </c>
      <c r="Q35" s="229">
        <v>0.1</v>
      </c>
      <c r="R35" s="197">
        <f t="shared" ref="R35:R63" si="11">O35*Q35</f>
        <v>200000</v>
      </c>
      <c r="S35" s="182">
        <f t="shared" ref="S35:S63" si="12">P35*Q35</f>
        <v>25</v>
      </c>
      <c r="T35" s="193">
        <f t="shared" ref="T35:T63" si="13">IF(H35="VL",0,IF(H35="L",0.1,IF(H35="M",0.25,IF(H35="H",0.75,IF(H35="VH",0.9,1)))))</f>
        <v>0</v>
      </c>
      <c r="U35" s="193">
        <f t="shared" ref="U35:U63" si="14">IF(H35="VL",0.1,IF(H35="L",0.25,IF(H35="M",0.75,IF(H35="H",0.9,IF(H35="VH",1,1)))))</f>
        <v>0.1</v>
      </c>
      <c r="V35" s="194">
        <f t="shared" ref="V35:V63" si="15">(U35-T35)/SQRT(12)</f>
        <v>2.8867513459481291E-2</v>
      </c>
      <c r="W35" s="195">
        <f t="shared" ref="W35:W63" si="16">($O35*($Q35+$T35+$U35)/3 + $O35*($U35-$T35)/6*0.84162)/1000</f>
        <v>161.38733333333334</v>
      </c>
      <c r="X35" s="195">
        <f t="shared" ref="X35:X63" si="17">($O35*($Q35+$T35+$U35)/3 + $O35*($U35-$T35)/6*1.036)/1000</f>
        <v>167.86666666666667</v>
      </c>
      <c r="Y35" s="195">
        <f t="shared" ref="Y35:Y63" si="18">($O35*($Q35+$T35+$U35)/3 + $O35*($U35-$T35)/6*1.28)/1000</f>
        <v>176</v>
      </c>
      <c r="Z35" s="168"/>
      <c r="AA35" s="11"/>
    </row>
    <row r="36" spans="1:27" s="2" customFormat="1" ht="45" x14ac:dyDescent="0.25">
      <c r="A36" s="223" t="s">
        <v>479</v>
      </c>
      <c r="B36" s="216">
        <v>4557</v>
      </c>
      <c r="C36" s="187" t="s">
        <v>61</v>
      </c>
      <c r="D36" s="230" t="s">
        <v>534</v>
      </c>
      <c r="E36" s="266" t="s">
        <v>335</v>
      </c>
      <c r="F36" s="231">
        <v>700000</v>
      </c>
      <c r="G36" s="184" t="s">
        <v>374</v>
      </c>
      <c r="H36" s="227" t="s">
        <v>155</v>
      </c>
      <c r="I36" s="227" t="s">
        <v>34</v>
      </c>
      <c r="J36" s="227" t="s">
        <v>64</v>
      </c>
      <c r="K36" s="227" t="s">
        <v>33</v>
      </c>
      <c r="L36" s="227" t="s">
        <v>36</v>
      </c>
      <c r="M36" s="206" t="s">
        <v>33</v>
      </c>
      <c r="N36" s="184" t="s">
        <v>459</v>
      </c>
      <c r="O36" s="232">
        <v>4000000</v>
      </c>
      <c r="P36" s="226">
        <v>250</v>
      </c>
      <c r="Q36" s="233">
        <v>0.1</v>
      </c>
      <c r="R36" s="197">
        <f t="shared" si="11"/>
        <v>400000</v>
      </c>
      <c r="S36" s="182">
        <f t="shared" si="12"/>
        <v>25</v>
      </c>
      <c r="T36" s="193">
        <f t="shared" si="13"/>
        <v>0</v>
      </c>
      <c r="U36" s="193">
        <f t="shared" si="14"/>
        <v>0.1</v>
      </c>
      <c r="V36" s="194">
        <f t="shared" si="15"/>
        <v>2.8867513459481291E-2</v>
      </c>
      <c r="W36" s="195">
        <f t="shared" si="16"/>
        <v>322.77466666666669</v>
      </c>
      <c r="X36" s="195">
        <f t="shared" si="17"/>
        <v>335.73333333333335</v>
      </c>
      <c r="Y36" s="195">
        <f t="shared" si="18"/>
        <v>352</v>
      </c>
      <c r="Z36" s="168"/>
      <c r="AA36" s="11"/>
    </row>
    <row r="37" spans="1:27" s="2" customFormat="1" ht="45" x14ac:dyDescent="0.25">
      <c r="A37" s="223" t="s">
        <v>480</v>
      </c>
      <c r="B37" s="216">
        <v>4558</v>
      </c>
      <c r="C37" s="187" t="s">
        <v>61</v>
      </c>
      <c r="D37" s="230" t="s">
        <v>460</v>
      </c>
      <c r="E37" s="226" t="s">
        <v>335</v>
      </c>
      <c r="F37" s="226"/>
      <c r="G37" s="184" t="s">
        <v>374</v>
      </c>
      <c r="H37" s="227" t="s">
        <v>155</v>
      </c>
      <c r="I37" s="227" t="s">
        <v>33</v>
      </c>
      <c r="J37" s="227" t="s">
        <v>35</v>
      </c>
      <c r="K37" s="227" t="s">
        <v>35</v>
      </c>
      <c r="L37" s="227" t="s">
        <v>36</v>
      </c>
      <c r="M37" s="284" t="s">
        <v>36</v>
      </c>
      <c r="N37" s="184" t="s">
        <v>459</v>
      </c>
      <c r="O37" s="232">
        <v>1000000</v>
      </c>
      <c r="P37" s="226">
        <v>125</v>
      </c>
      <c r="Q37" s="233">
        <v>0.1</v>
      </c>
      <c r="R37" s="197">
        <f t="shared" si="11"/>
        <v>100000</v>
      </c>
      <c r="S37" s="182">
        <f t="shared" si="12"/>
        <v>12.5</v>
      </c>
      <c r="T37" s="193">
        <f t="shared" si="13"/>
        <v>0</v>
      </c>
      <c r="U37" s="193">
        <f t="shared" si="14"/>
        <v>0.1</v>
      </c>
      <c r="V37" s="194">
        <f t="shared" si="15"/>
        <v>2.8867513459481291E-2</v>
      </c>
      <c r="W37" s="195">
        <f t="shared" si="16"/>
        <v>80.693666666666672</v>
      </c>
      <c r="X37" s="195">
        <f t="shared" si="17"/>
        <v>83.933333333333337</v>
      </c>
      <c r="Y37" s="195">
        <f t="shared" si="18"/>
        <v>88</v>
      </c>
      <c r="Z37" s="168"/>
      <c r="AA37" s="11"/>
    </row>
    <row r="38" spans="1:27" s="2" customFormat="1" ht="30" x14ac:dyDescent="0.25">
      <c r="A38" s="223" t="s">
        <v>481</v>
      </c>
      <c r="B38" s="216">
        <v>4559</v>
      </c>
      <c r="C38" s="187" t="s">
        <v>61</v>
      </c>
      <c r="D38" s="230" t="s">
        <v>461</v>
      </c>
      <c r="E38" s="226" t="s">
        <v>335</v>
      </c>
      <c r="F38" s="226"/>
      <c r="G38" s="184" t="s">
        <v>374</v>
      </c>
      <c r="H38" s="227" t="s">
        <v>36</v>
      </c>
      <c r="I38" s="227" t="s">
        <v>36</v>
      </c>
      <c r="J38" s="227" t="s">
        <v>35</v>
      </c>
      <c r="K38" s="227" t="s">
        <v>35</v>
      </c>
      <c r="L38" s="227" t="s">
        <v>35</v>
      </c>
      <c r="M38" s="284" t="s">
        <v>36</v>
      </c>
      <c r="N38" s="184" t="s">
        <v>459</v>
      </c>
      <c r="O38" s="232">
        <v>520000</v>
      </c>
      <c r="P38" s="226">
        <v>65</v>
      </c>
      <c r="Q38" s="233">
        <v>0.25</v>
      </c>
      <c r="R38" s="197">
        <f t="shared" si="11"/>
        <v>130000</v>
      </c>
      <c r="S38" s="182">
        <f t="shared" si="12"/>
        <v>16.25</v>
      </c>
      <c r="T38" s="193">
        <f t="shared" si="13"/>
        <v>0.1</v>
      </c>
      <c r="U38" s="193">
        <f t="shared" si="14"/>
        <v>0.25</v>
      </c>
      <c r="V38" s="194">
        <f t="shared" si="15"/>
        <v>4.3301270189221933E-2</v>
      </c>
      <c r="W38" s="195">
        <f t="shared" si="16"/>
        <v>114.94105999999999</v>
      </c>
      <c r="X38" s="195">
        <f t="shared" si="17"/>
        <v>117.468</v>
      </c>
      <c r="Y38" s="195">
        <f t="shared" si="18"/>
        <v>120.64</v>
      </c>
      <c r="Z38" s="168"/>
      <c r="AA38" s="11"/>
    </row>
    <row r="39" spans="1:27" s="2" customFormat="1" ht="30" x14ac:dyDescent="0.25">
      <c r="A39" s="223" t="s">
        <v>482</v>
      </c>
      <c r="B39" s="216">
        <v>4560</v>
      </c>
      <c r="C39" s="187" t="s">
        <v>61</v>
      </c>
      <c r="D39" s="230" t="s">
        <v>462</v>
      </c>
      <c r="E39" s="226" t="s">
        <v>364</v>
      </c>
      <c r="F39" s="226"/>
      <c r="G39" s="184" t="s">
        <v>374</v>
      </c>
      <c r="H39" s="227" t="s">
        <v>155</v>
      </c>
      <c r="I39" s="227" t="s">
        <v>34</v>
      </c>
      <c r="J39" s="227" t="s">
        <v>35</v>
      </c>
      <c r="K39" s="227" t="s">
        <v>35</v>
      </c>
      <c r="L39" s="227" t="s">
        <v>35</v>
      </c>
      <c r="M39" s="284" t="s">
        <v>36</v>
      </c>
      <c r="N39" s="184" t="s">
        <v>459</v>
      </c>
      <c r="O39" s="232">
        <v>2000000</v>
      </c>
      <c r="P39" s="226">
        <v>250</v>
      </c>
      <c r="Q39" s="233">
        <v>0.05</v>
      </c>
      <c r="R39" s="197">
        <f t="shared" si="11"/>
        <v>100000</v>
      </c>
      <c r="S39" s="182">
        <f t="shared" si="12"/>
        <v>12.5</v>
      </c>
      <c r="T39" s="193">
        <f t="shared" si="13"/>
        <v>0</v>
      </c>
      <c r="U39" s="193">
        <f t="shared" si="14"/>
        <v>0.1</v>
      </c>
      <c r="V39" s="194">
        <f t="shared" si="15"/>
        <v>2.8867513459481291E-2</v>
      </c>
      <c r="W39" s="195">
        <f t="shared" si="16"/>
        <v>128.054</v>
      </c>
      <c r="X39" s="195">
        <f t="shared" si="17"/>
        <v>134.53333333333333</v>
      </c>
      <c r="Y39" s="195">
        <f t="shared" si="18"/>
        <v>142.66666666666669</v>
      </c>
      <c r="Z39" s="168"/>
      <c r="AA39" s="11"/>
    </row>
    <row r="40" spans="1:27" s="2" customFormat="1" ht="45" x14ac:dyDescent="0.25">
      <c r="A40" s="223" t="s">
        <v>483</v>
      </c>
      <c r="B40" s="216">
        <v>4561</v>
      </c>
      <c r="C40" s="187" t="s">
        <v>61</v>
      </c>
      <c r="D40" s="230" t="s">
        <v>463</v>
      </c>
      <c r="E40" s="226" t="s">
        <v>365</v>
      </c>
      <c r="F40" s="226"/>
      <c r="G40" s="184" t="s">
        <v>374</v>
      </c>
      <c r="H40" s="227" t="s">
        <v>155</v>
      </c>
      <c r="I40" s="227" t="s">
        <v>64</v>
      </c>
      <c r="J40" s="227" t="s">
        <v>64</v>
      </c>
      <c r="K40" s="227" t="s">
        <v>35</v>
      </c>
      <c r="L40" s="227" t="s">
        <v>36</v>
      </c>
      <c r="M40" s="206" t="s">
        <v>33</v>
      </c>
      <c r="N40" s="184" t="s">
        <v>459</v>
      </c>
      <c r="O40" s="232">
        <v>4500000</v>
      </c>
      <c r="P40" s="226">
        <v>500</v>
      </c>
      <c r="Q40" s="233">
        <v>0.1</v>
      </c>
      <c r="R40" s="197">
        <f t="shared" si="11"/>
        <v>450000</v>
      </c>
      <c r="S40" s="182">
        <f t="shared" si="12"/>
        <v>50</v>
      </c>
      <c r="T40" s="193">
        <f t="shared" si="13"/>
        <v>0</v>
      </c>
      <c r="U40" s="193">
        <f t="shared" si="14"/>
        <v>0.1</v>
      </c>
      <c r="V40" s="194">
        <f t="shared" si="15"/>
        <v>2.8867513459481291E-2</v>
      </c>
      <c r="W40" s="195">
        <f t="shared" si="16"/>
        <v>363.12150000000003</v>
      </c>
      <c r="X40" s="195">
        <f t="shared" si="17"/>
        <v>377.7</v>
      </c>
      <c r="Y40" s="195">
        <f t="shared" si="18"/>
        <v>396</v>
      </c>
      <c r="Z40" s="168"/>
      <c r="AA40" s="11"/>
    </row>
    <row r="41" spans="1:27" s="2" customFormat="1" ht="45" x14ac:dyDescent="0.25">
      <c r="A41" s="223" t="s">
        <v>484</v>
      </c>
      <c r="B41" s="216">
        <v>4562</v>
      </c>
      <c r="C41" s="187" t="s">
        <v>61</v>
      </c>
      <c r="D41" s="230" t="s">
        <v>533</v>
      </c>
      <c r="E41" s="226" t="s">
        <v>335</v>
      </c>
      <c r="F41" s="231">
        <v>200000</v>
      </c>
      <c r="G41" s="184" t="s">
        <v>374</v>
      </c>
      <c r="H41" s="227" t="s">
        <v>155</v>
      </c>
      <c r="I41" s="227" t="s">
        <v>33</v>
      </c>
      <c r="J41" s="227" t="s">
        <v>34</v>
      </c>
      <c r="K41" s="227" t="s">
        <v>35</v>
      </c>
      <c r="L41" s="227" t="s">
        <v>36</v>
      </c>
      <c r="M41" s="284" t="s">
        <v>36</v>
      </c>
      <c r="N41" s="184" t="s">
        <v>459</v>
      </c>
      <c r="O41" s="232">
        <v>1500000</v>
      </c>
      <c r="P41" s="226">
        <v>125</v>
      </c>
      <c r="Q41" s="233">
        <v>0.1</v>
      </c>
      <c r="R41" s="197">
        <f t="shared" si="11"/>
        <v>150000</v>
      </c>
      <c r="S41" s="182">
        <f t="shared" si="12"/>
        <v>12.5</v>
      </c>
      <c r="T41" s="193">
        <f t="shared" si="13"/>
        <v>0</v>
      </c>
      <c r="U41" s="193">
        <f t="shared" si="14"/>
        <v>0.1</v>
      </c>
      <c r="V41" s="194">
        <f t="shared" si="15"/>
        <v>2.8867513459481291E-2</v>
      </c>
      <c r="W41" s="195">
        <f t="shared" si="16"/>
        <v>121.04049999999999</v>
      </c>
      <c r="X41" s="195">
        <f t="shared" si="17"/>
        <v>125.9</v>
      </c>
      <c r="Y41" s="195">
        <f t="shared" si="18"/>
        <v>132</v>
      </c>
      <c r="Z41" s="168"/>
      <c r="AA41" s="11"/>
    </row>
    <row r="42" spans="1:27" s="2" customFormat="1" ht="50.25" customHeight="1" x14ac:dyDescent="0.25">
      <c r="A42" s="223" t="s">
        <v>485</v>
      </c>
      <c r="B42" s="216">
        <v>4563</v>
      </c>
      <c r="C42" s="187" t="s">
        <v>61</v>
      </c>
      <c r="D42" s="230" t="s">
        <v>460</v>
      </c>
      <c r="E42" s="226" t="s">
        <v>365</v>
      </c>
      <c r="F42" s="226"/>
      <c r="G42" s="184" t="s">
        <v>374</v>
      </c>
      <c r="H42" s="227" t="s">
        <v>155</v>
      </c>
      <c r="I42" s="227" t="s">
        <v>33</v>
      </c>
      <c r="J42" s="227" t="s">
        <v>35</v>
      </c>
      <c r="K42" s="227" t="s">
        <v>35</v>
      </c>
      <c r="L42" s="227" t="s">
        <v>36</v>
      </c>
      <c r="M42" s="284" t="s">
        <v>36</v>
      </c>
      <c r="N42" s="184" t="s">
        <v>459</v>
      </c>
      <c r="O42" s="232">
        <v>1000000</v>
      </c>
      <c r="P42" s="226">
        <v>125</v>
      </c>
      <c r="Q42" s="233">
        <v>0.1</v>
      </c>
      <c r="R42" s="197">
        <f t="shared" si="11"/>
        <v>100000</v>
      </c>
      <c r="S42" s="182">
        <f t="shared" si="12"/>
        <v>12.5</v>
      </c>
      <c r="T42" s="193">
        <f t="shared" si="13"/>
        <v>0</v>
      </c>
      <c r="U42" s="193">
        <f t="shared" si="14"/>
        <v>0.1</v>
      </c>
      <c r="V42" s="194">
        <f t="shared" si="15"/>
        <v>2.8867513459481291E-2</v>
      </c>
      <c r="W42" s="195">
        <f t="shared" si="16"/>
        <v>80.693666666666672</v>
      </c>
      <c r="X42" s="195">
        <f t="shared" si="17"/>
        <v>83.933333333333337</v>
      </c>
      <c r="Y42" s="195">
        <f t="shared" si="18"/>
        <v>88</v>
      </c>
      <c r="Z42" s="168"/>
      <c r="AA42" s="11"/>
    </row>
    <row r="43" spans="1:27" s="2" customFormat="1" ht="30" x14ac:dyDescent="0.25">
      <c r="A43" s="223" t="s">
        <v>486</v>
      </c>
      <c r="B43" s="216">
        <v>4564</v>
      </c>
      <c r="C43" s="187" t="s">
        <v>61</v>
      </c>
      <c r="D43" s="225" t="s">
        <v>461</v>
      </c>
      <c r="E43" s="226" t="s">
        <v>335</v>
      </c>
      <c r="F43" s="226"/>
      <c r="G43" s="184" t="s">
        <v>374</v>
      </c>
      <c r="H43" s="227" t="s">
        <v>36</v>
      </c>
      <c r="I43" s="227" t="s">
        <v>36</v>
      </c>
      <c r="J43" s="227" t="s">
        <v>35</v>
      </c>
      <c r="K43" s="227" t="s">
        <v>35</v>
      </c>
      <c r="L43" s="227" t="s">
        <v>35</v>
      </c>
      <c r="M43" s="284" t="s">
        <v>36</v>
      </c>
      <c r="N43" s="184" t="s">
        <v>459</v>
      </c>
      <c r="O43" s="232">
        <v>520000</v>
      </c>
      <c r="P43" s="226">
        <v>65</v>
      </c>
      <c r="Q43" s="233">
        <v>0.25</v>
      </c>
      <c r="R43" s="197">
        <f t="shared" si="11"/>
        <v>130000</v>
      </c>
      <c r="S43" s="182">
        <f t="shared" si="12"/>
        <v>16.25</v>
      </c>
      <c r="T43" s="193">
        <f t="shared" si="13"/>
        <v>0.1</v>
      </c>
      <c r="U43" s="193">
        <f t="shared" si="14"/>
        <v>0.25</v>
      </c>
      <c r="V43" s="193">
        <f t="shared" si="15"/>
        <v>4.3301270189221933E-2</v>
      </c>
      <c r="W43" s="195">
        <f t="shared" si="16"/>
        <v>114.94105999999999</v>
      </c>
      <c r="X43" s="195">
        <f t="shared" si="17"/>
        <v>117.468</v>
      </c>
      <c r="Y43" s="195">
        <f t="shared" si="18"/>
        <v>120.64</v>
      </c>
      <c r="Z43" s="168"/>
      <c r="AA43" s="12"/>
    </row>
    <row r="44" spans="1:27" s="2" customFormat="1" ht="30" x14ac:dyDescent="0.25">
      <c r="A44" s="223" t="s">
        <v>487</v>
      </c>
      <c r="B44" s="216">
        <v>4565</v>
      </c>
      <c r="C44" s="187" t="s">
        <v>61</v>
      </c>
      <c r="D44" s="230" t="s">
        <v>462</v>
      </c>
      <c r="E44" s="226" t="s">
        <v>365</v>
      </c>
      <c r="F44" s="226"/>
      <c r="G44" s="184" t="s">
        <v>374</v>
      </c>
      <c r="H44" s="227" t="s">
        <v>155</v>
      </c>
      <c r="I44" s="227" t="s">
        <v>34</v>
      </c>
      <c r="J44" s="227" t="s">
        <v>35</v>
      </c>
      <c r="K44" s="227" t="s">
        <v>35</v>
      </c>
      <c r="L44" s="227" t="s">
        <v>35</v>
      </c>
      <c r="M44" s="284" t="s">
        <v>36</v>
      </c>
      <c r="N44" s="184" t="s">
        <v>459</v>
      </c>
      <c r="O44" s="232">
        <v>2000000</v>
      </c>
      <c r="P44" s="226">
        <v>250</v>
      </c>
      <c r="Q44" s="233">
        <v>0.05</v>
      </c>
      <c r="R44" s="197">
        <f t="shared" si="11"/>
        <v>100000</v>
      </c>
      <c r="S44" s="182">
        <f t="shared" si="12"/>
        <v>12.5</v>
      </c>
      <c r="T44" s="193">
        <f t="shared" si="13"/>
        <v>0</v>
      </c>
      <c r="U44" s="193">
        <f t="shared" si="14"/>
        <v>0.1</v>
      </c>
      <c r="V44" s="193">
        <f t="shared" si="15"/>
        <v>2.8867513459481291E-2</v>
      </c>
      <c r="W44" s="195">
        <f t="shared" si="16"/>
        <v>128.054</v>
      </c>
      <c r="X44" s="195">
        <f t="shared" si="17"/>
        <v>134.53333333333333</v>
      </c>
      <c r="Y44" s="195">
        <f t="shared" si="18"/>
        <v>142.66666666666669</v>
      </c>
      <c r="Z44" s="217"/>
      <c r="AA44" s="11"/>
    </row>
    <row r="45" spans="1:27" ht="45" x14ac:dyDescent="0.25">
      <c r="A45" s="223" t="s">
        <v>488</v>
      </c>
      <c r="B45" s="216">
        <v>4566</v>
      </c>
      <c r="C45" s="187" t="s">
        <v>61</v>
      </c>
      <c r="D45" s="230" t="s">
        <v>463</v>
      </c>
      <c r="E45" s="226" t="s">
        <v>365</v>
      </c>
      <c r="F45" s="226"/>
      <c r="G45" s="184" t="s">
        <v>374</v>
      </c>
      <c r="H45" s="227" t="s">
        <v>155</v>
      </c>
      <c r="I45" s="227" t="s">
        <v>64</v>
      </c>
      <c r="J45" s="227" t="s">
        <v>64</v>
      </c>
      <c r="K45" s="227" t="s">
        <v>35</v>
      </c>
      <c r="L45" s="227" t="s">
        <v>35</v>
      </c>
      <c r="M45" s="206" t="s">
        <v>33</v>
      </c>
      <c r="N45" s="184" t="s">
        <v>459</v>
      </c>
      <c r="O45" s="232">
        <v>4500000</v>
      </c>
      <c r="P45" s="226">
        <v>500</v>
      </c>
      <c r="Q45" s="233">
        <v>0.05</v>
      </c>
      <c r="R45" s="197">
        <f t="shared" si="11"/>
        <v>225000</v>
      </c>
      <c r="S45" s="182">
        <f t="shared" si="12"/>
        <v>25</v>
      </c>
      <c r="T45" s="193">
        <f t="shared" si="13"/>
        <v>0</v>
      </c>
      <c r="U45" s="193">
        <f t="shared" si="14"/>
        <v>0.1</v>
      </c>
      <c r="V45" s="193">
        <f t="shared" si="15"/>
        <v>2.8867513459481291E-2</v>
      </c>
      <c r="W45" s="195">
        <f t="shared" si="16"/>
        <v>288.12150000000003</v>
      </c>
      <c r="X45" s="195">
        <f t="shared" si="17"/>
        <v>302.7</v>
      </c>
      <c r="Y45" s="195">
        <f t="shared" si="18"/>
        <v>321</v>
      </c>
    </row>
    <row r="46" spans="1:27" s="2" customFormat="1" ht="38.25" customHeight="1" x14ac:dyDescent="0.25">
      <c r="A46" s="223" t="s">
        <v>489</v>
      </c>
      <c r="B46" s="216">
        <v>4567</v>
      </c>
      <c r="C46" s="187" t="s">
        <v>61</v>
      </c>
      <c r="D46" s="230" t="s">
        <v>464</v>
      </c>
      <c r="E46" s="226" t="s">
        <v>524</v>
      </c>
      <c r="F46" s="226"/>
      <c r="G46" s="184" t="s">
        <v>374</v>
      </c>
      <c r="H46" s="227" t="s">
        <v>36</v>
      </c>
      <c r="I46" s="227" t="s">
        <v>36</v>
      </c>
      <c r="J46" s="227" t="s">
        <v>35</v>
      </c>
      <c r="K46" s="227" t="s">
        <v>35</v>
      </c>
      <c r="L46" s="227" t="s">
        <v>35</v>
      </c>
      <c r="M46" s="284" t="s">
        <v>36</v>
      </c>
      <c r="N46" s="184" t="s">
        <v>459</v>
      </c>
      <c r="O46" s="232">
        <v>520000</v>
      </c>
      <c r="P46" s="226">
        <v>65</v>
      </c>
      <c r="Q46" s="233">
        <v>0.15</v>
      </c>
      <c r="R46" s="197">
        <f t="shared" si="11"/>
        <v>78000</v>
      </c>
      <c r="S46" s="182">
        <f t="shared" si="12"/>
        <v>9.75</v>
      </c>
      <c r="T46" s="193">
        <f t="shared" si="13"/>
        <v>0.1</v>
      </c>
      <c r="U46" s="193">
        <f t="shared" si="14"/>
        <v>0.25</v>
      </c>
      <c r="V46" s="194">
        <f t="shared" si="15"/>
        <v>4.3301270189221933E-2</v>
      </c>
      <c r="W46" s="195">
        <f t="shared" si="16"/>
        <v>97.607726666666665</v>
      </c>
      <c r="X46" s="195">
        <f t="shared" si="17"/>
        <v>100.13466666666667</v>
      </c>
      <c r="Y46" s="195">
        <f t="shared" si="18"/>
        <v>103.30666666666667</v>
      </c>
      <c r="Z46" s="168"/>
      <c r="AA46" s="11"/>
    </row>
    <row r="47" spans="1:27" s="127" customFormat="1" ht="38.25" customHeight="1" x14ac:dyDescent="0.25">
      <c r="A47" s="223" t="s">
        <v>490</v>
      </c>
      <c r="B47" s="216">
        <v>4568</v>
      </c>
      <c r="C47" s="187" t="s">
        <v>61</v>
      </c>
      <c r="D47" s="230" t="s">
        <v>532</v>
      </c>
      <c r="E47" s="226" t="s">
        <v>616</v>
      </c>
      <c r="F47" s="234">
        <v>200000</v>
      </c>
      <c r="G47" s="235" t="s">
        <v>374</v>
      </c>
      <c r="H47" s="227" t="s">
        <v>33</v>
      </c>
      <c r="I47" s="227" t="s">
        <v>36</v>
      </c>
      <c r="J47" s="227" t="s">
        <v>33</v>
      </c>
      <c r="K47" s="227" t="s">
        <v>35</v>
      </c>
      <c r="L47" s="227" t="s">
        <v>35</v>
      </c>
      <c r="M47" s="196" t="s">
        <v>34</v>
      </c>
      <c r="N47" s="184" t="s">
        <v>459</v>
      </c>
      <c r="O47" s="232">
        <v>620000</v>
      </c>
      <c r="P47" s="226">
        <v>65</v>
      </c>
      <c r="Q47" s="233">
        <v>0.4</v>
      </c>
      <c r="R47" s="236">
        <f t="shared" si="11"/>
        <v>248000</v>
      </c>
      <c r="S47" s="182">
        <f t="shared" si="12"/>
        <v>26</v>
      </c>
      <c r="T47" s="193">
        <f t="shared" si="13"/>
        <v>0.25</v>
      </c>
      <c r="U47" s="193">
        <f t="shared" si="14"/>
        <v>0.75</v>
      </c>
      <c r="V47" s="193">
        <f t="shared" si="15"/>
        <v>0.14433756729740646</v>
      </c>
      <c r="W47" s="195">
        <f t="shared" si="16"/>
        <v>332.81703333333331</v>
      </c>
      <c r="X47" s="195">
        <f t="shared" si="17"/>
        <v>342.86</v>
      </c>
      <c r="Y47" s="195">
        <f t="shared" si="18"/>
        <v>355.46666666666664</v>
      </c>
      <c r="Z47" s="168"/>
      <c r="AA47" s="126"/>
    </row>
    <row r="48" spans="1:27" s="127" customFormat="1" ht="41.1" customHeight="1" x14ac:dyDescent="0.25">
      <c r="A48" s="223" t="s">
        <v>491</v>
      </c>
      <c r="B48" s="216">
        <v>4569</v>
      </c>
      <c r="C48" s="187" t="s">
        <v>61</v>
      </c>
      <c r="D48" s="230" t="s">
        <v>461</v>
      </c>
      <c r="E48" s="226" t="s">
        <v>335</v>
      </c>
      <c r="F48" s="237"/>
      <c r="G48" s="235" t="s">
        <v>374</v>
      </c>
      <c r="H48" s="227" t="s">
        <v>36</v>
      </c>
      <c r="I48" s="227" t="s">
        <v>36</v>
      </c>
      <c r="J48" s="227" t="s">
        <v>35</v>
      </c>
      <c r="K48" s="227" t="s">
        <v>35</v>
      </c>
      <c r="L48" s="227" t="s">
        <v>35</v>
      </c>
      <c r="M48" s="284" t="s">
        <v>36</v>
      </c>
      <c r="N48" s="184" t="s">
        <v>459</v>
      </c>
      <c r="O48" s="232">
        <v>350000</v>
      </c>
      <c r="P48" s="226">
        <v>42</v>
      </c>
      <c r="Q48" s="233">
        <v>0.25</v>
      </c>
      <c r="R48" s="236">
        <f t="shared" si="11"/>
        <v>87500</v>
      </c>
      <c r="S48" s="182">
        <f t="shared" si="12"/>
        <v>10.5</v>
      </c>
      <c r="T48" s="193">
        <f t="shared" si="13"/>
        <v>0.1</v>
      </c>
      <c r="U48" s="193">
        <f t="shared" si="14"/>
        <v>0.25</v>
      </c>
      <c r="V48" s="193">
        <f t="shared" si="15"/>
        <v>4.3301270189221933E-2</v>
      </c>
      <c r="W48" s="195">
        <f t="shared" si="16"/>
        <v>77.364175000000003</v>
      </c>
      <c r="X48" s="195">
        <f t="shared" si="17"/>
        <v>79.064999999999998</v>
      </c>
      <c r="Y48" s="195">
        <f t="shared" si="18"/>
        <v>81.2</v>
      </c>
      <c r="Z48" s="168"/>
      <c r="AA48" s="126"/>
    </row>
    <row r="49" spans="1:27" s="127" customFormat="1" ht="38.25" customHeight="1" x14ac:dyDescent="0.25">
      <c r="A49" s="223" t="s">
        <v>492</v>
      </c>
      <c r="B49" s="216">
        <v>4570</v>
      </c>
      <c r="C49" s="187" t="s">
        <v>61</v>
      </c>
      <c r="D49" s="219" t="s">
        <v>465</v>
      </c>
      <c r="E49" s="226" t="s">
        <v>335</v>
      </c>
      <c r="F49" s="238"/>
      <c r="G49" s="235" t="s">
        <v>374</v>
      </c>
      <c r="H49" s="227" t="s">
        <v>155</v>
      </c>
      <c r="I49" s="227" t="s">
        <v>36</v>
      </c>
      <c r="J49" s="227" t="s">
        <v>33</v>
      </c>
      <c r="K49" s="227" t="s">
        <v>35</v>
      </c>
      <c r="L49" s="227" t="s">
        <v>35</v>
      </c>
      <c r="M49" s="284" t="s">
        <v>36</v>
      </c>
      <c r="N49" s="184" t="s">
        <v>459</v>
      </c>
      <c r="O49" s="232">
        <v>770000</v>
      </c>
      <c r="P49" s="226">
        <v>65</v>
      </c>
      <c r="Q49" s="233">
        <v>0.05</v>
      </c>
      <c r="R49" s="236">
        <f t="shared" si="11"/>
        <v>38500</v>
      </c>
      <c r="S49" s="182">
        <f t="shared" si="12"/>
        <v>3.25</v>
      </c>
      <c r="T49" s="193">
        <f t="shared" si="13"/>
        <v>0</v>
      </c>
      <c r="U49" s="193">
        <f t="shared" si="14"/>
        <v>0.1</v>
      </c>
      <c r="V49" s="193">
        <f t="shared" si="15"/>
        <v>2.8867513459481291E-2</v>
      </c>
      <c r="W49" s="195">
        <f t="shared" si="16"/>
        <v>49.300790000000006</v>
      </c>
      <c r="X49" s="195">
        <f t="shared" si="17"/>
        <v>51.795333333333346</v>
      </c>
      <c r="Y49" s="195">
        <f t="shared" si="18"/>
        <v>54.926666666666669</v>
      </c>
      <c r="Z49" s="168"/>
      <c r="AA49" s="126"/>
    </row>
    <row r="50" spans="1:27" s="127" customFormat="1" ht="42.95" customHeight="1" x14ac:dyDescent="0.25">
      <c r="A50" s="223" t="s">
        <v>493</v>
      </c>
      <c r="B50" s="216">
        <v>4571</v>
      </c>
      <c r="C50" s="187" t="s">
        <v>61</v>
      </c>
      <c r="D50" s="219" t="s">
        <v>466</v>
      </c>
      <c r="E50" s="226" t="s">
        <v>335</v>
      </c>
      <c r="F50" s="238"/>
      <c r="G50" s="235" t="s">
        <v>374</v>
      </c>
      <c r="H50" s="227" t="s">
        <v>155</v>
      </c>
      <c r="I50" s="227" t="s">
        <v>34</v>
      </c>
      <c r="J50" s="227" t="s">
        <v>34</v>
      </c>
      <c r="K50" s="227" t="s">
        <v>35</v>
      </c>
      <c r="L50" s="227" t="s">
        <v>36</v>
      </c>
      <c r="M50" s="284" t="s">
        <v>36</v>
      </c>
      <c r="N50" s="184" t="s">
        <v>459</v>
      </c>
      <c r="O50" s="232">
        <v>2500000</v>
      </c>
      <c r="P50" s="226">
        <v>250</v>
      </c>
      <c r="Q50" s="233">
        <v>0.1</v>
      </c>
      <c r="R50" s="236">
        <f t="shared" si="11"/>
        <v>250000</v>
      </c>
      <c r="S50" s="182">
        <f t="shared" si="12"/>
        <v>25</v>
      </c>
      <c r="T50" s="193">
        <f t="shared" si="13"/>
        <v>0</v>
      </c>
      <c r="U50" s="193">
        <f t="shared" si="14"/>
        <v>0.1</v>
      </c>
      <c r="V50" s="193">
        <f t="shared" si="15"/>
        <v>2.8867513459481291E-2</v>
      </c>
      <c r="W50" s="195">
        <f t="shared" si="16"/>
        <v>201.73416666666665</v>
      </c>
      <c r="X50" s="195">
        <f t="shared" si="17"/>
        <v>209.83333333333331</v>
      </c>
      <c r="Y50" s="195">
        <f t="shared" si="18"/>
        <v>220</v>
      </c>
      <c r="Z50" s="168"/>
      <c r="AA50" s="126"/>
    </row>
    <row r="51" spans="1:27" s="127" customFormat="1" ht="45.95" customHeight="1" x14ac:dyDescent="0.25">
      <c r="A51" s="223" t="s">
        <v>494</v>
      </c>
      <c r="B51" s="216">
        <v>4572</v>
      </c>
      <c r="C51" s="187" t="s">
        <v>61</v>
      </c>
      <c r="D51" s="219" t="s">
        <v>467</v>
      </c>
      <c r="E51" s="226" t="s">
        <v>335</v>
      </c>
      <c r="F51" s="238"/>
      <c r="G51" s="235" t="s">
        <v>374</v>
      </c>
      <c r="H51" s="227" t="s">
        <v>155</v>
      </c>
      <c r="I51" s="227" t="s">
        <v>36</v>
      </c>
      <c r="J51" s="227" t="s">
        <v>35</v>
      </c>
      <c r="K51" s="227" t="s">
        <v>35</v>
      </c>
      <c r="L51" s="227" t="s">
        <v>36</v>
      </c>
      <c r="M51" s="284" t="s">
        <v>36</v>
      </c>
      <c r="N51" s="184" t="s">
        <v>459</v>
      </c>
      <c r="O51" s="232">
        <v>520000</v>
      </c>
      <c r="P51" s="226">
        <v>65</v>
      </c>
      <c r="Q51" s="233">
        <v>0.1</v>
      </c>
      <c r="R51" s="236">
        <f t="shared" si="11"/>
        <v>52000</v>
      </c>
      <c r="S51" s="182">
        <f t="shared" si="12"/>
        <v>6.5</v>
      </c>
      <c r="T51" s="193">
        <f t="shared" si="13"/>
        <v>0</v>
      </c>
      <c r="U51" s="193">
        <f t="shared" si="14"/>
        <v>0.1</v>
      </c>
      <c r="V51" s="193">
        <f t="shared" si="15"/>
        <v>2.8867513459481291E-2</v>
      </c>
      <c r="W51" s="195">
        <f t="shared" si="16"/>
        <v>41.960706666666667</v>
      </c>
      <c r="X51" s="195">
        <f t="shared" si="17"/>
        <v>43.645333333333326</v>
      </c>
      <c r="Y51" s="195">
        <f t="shared" si="18"/>
        <v>45.76</v>
      </c>
      <c r="Z51" s="168"/>
      <c r="AA51" s="126"/>
    </row>
    <row r="52" spans="1:27" s="127" customFormat="1" ht="44.1" customHeight="1" x14ac:dyDescent="0.25">
      <c r="A52" s="223" t="s">
        <v>495</v>
      </c>
      <c r="B52" s="216">
        <v>4573</v>
      </c>
      <c r="C52" s="187" t="s">
        <v>61</v>
      </c>
      <c r="D52" s="219" t="s">
        <v>468</v>
      </c>
      <c r="E52" s="226" t="s">
        <v>365</v>
      </c>
      <c r="F52" s="238"/>
      <c r="G52" s="235" t="s">
        <v>374</v>
      </c>
      <c r="H52" s="227" t="s">
        <v>155</v>
      </c>
      <c r="I52" s="227" t="s">
        <v>34</v>
      </c>
      <c r="J52" s="227" t="s">
        <v>34</v>
      </c>
      <c r="K52" s="227" t="s">
        <v>35</v>
      </c>
      <c r="L52" s="227" t="s">
        <v>36</v>
      </c>
      <c r="M52" s="284" t="s">
        <v>36</v>
      </c>
      <c r="N52" s="184" t="s">
        <v>459</v>
      </c>
      <c r="O52" s="232">
        <v>2500000</v>
      </c>
      <c r="P52" s="226">
        <v>250</v>
      </c>
      <c r="Q52" s="233">
        <v>0.1</v>
      </c>
      <c r="R52" s="236">
        <f t="shared" si="11"/>
        <v>250000</v>
      </c>
      <c r="S52" s="182">
        <f t="shared" si="12"/>
        <v>25</v>
      </c>
      <c r="T52" s="193">
        <f t="shared" si="13"/>
        <v>0</v>
      </c>
      <c r="U52" s="193">
        <f t="shared" si="14"/>
        <v>0.1</v>
      </c>
      <c r="V52" s="193">
        <f t="shared" si="15"/>
        <v>2.8867513459481291E-2</v>
      </c>
      <c r="W52" s="195">
        <f t="shared" si="16"/>
        <v>201.73416666666665</v>
      </c>
      <c r="X52" s="195">
        <f t="shared" si="17"/>
        <v>209.83333333333331</v>
      </c>
      <c r="Y52" s="195">
        <f t="shared" si="18"/>
        <v>220</v>
      </c>
      <c r="Z52" s="168"/>
      <c r="AA52" s="126"/>
    </row>
    <row r="53" spans="1:27" s="127" customFormat="1" ht="60" x14ac:dyDescent="0.25">
      <c r="A53" s="223" t="s">
        <v>496</v>
      </c>
      <c r="B53" s="239">
        <v>4574</v>
      </c>
      <c r="C53" s="187" t="s">
        <v>61</v>
      </c>
      <c r="D53" s="230" t="s">
        <v>469</v>
      </c>
      <c r="E53" s="226" t="s">
        <v>525</v>
      </c>
      <c r="F53" s="237"/>
      <c r="G53" s="184" t="s">
        <v>374</v>
      </c>
      <c r="H53" s="227" t="s">
        <v>36</v>
      </c>
      <c r="I53" s="227" t="s">
        <v>33</v>
      </c>
      <c r="J53" s="227" t="s">
        <v>64</v>
      </c>
      <c r="K53" s="227" t="s">
        <v>35</v>
      </c>
      <c r="L53" s="227" t="s">
        <v>35</v>
      </c>
      <c r="M53" s="206" t="s">
        <v>33</v>
      </c>
      <c r="N53" s="184" t="s">
        <v>459</v>
      </c>
      <c r="O53" s="232">
        <v>2000000</v>
      </c>
      <c r="P53" s="226">
        <v>125</v>
      </c>
      <c r="Q53" s="233">
        <v>0.25</v>
      </c>
      <c r="R53" s="236">
        <f t="shared" si="11"/>
        <v>500000</v>
      </c>
      <c r="S53" s="182">
        <f t="shared" si="12"/>
        <v>31.25</v>
      </c>
      <c r="T53" s="193">
        <f t="shared" si="13"/>
        <v>0.1</v>
      </c>
      <c r="U53" s="193">
        <f t="shared" si="14"/>
        <v>0.25</v>
      </c>
      <c r="V53" s="193">
        <f t="shared" si="15"/>
        <v>4.3301270189221933E-2</v>
      </c>
      <c r="W53" s="195">
        <f t="shared" si="16"/>
        <v>442.08100000000002</v>
      </c>
      <c r="X53" s="195">
        <f t="shared" si="17"/>
        <v>451.8</v>
      </c>
      <c r="Y53" s="195">
        <f t="shared" si="18"/>
        <v>464</v>
      </c>
      <c r="Z53" s="168"/>
      <c r="AA53" s="126"/>
    </row>
    <row r="54" spans="1:27" s="2" customFormat="1" ht="45" x14ac:dyDescent="0.25">
      <c r="A54" s="223" t="s">
        <v>497</v>
      </c>
      <c r="B54" s="216">
        <v>4575</v>
      </c>
      <c r="C54" s="187" t="s">
        <v>61</v>
      </c>
      <c r="D54" s="230" t="s">
        <v>470</v>
      </c>
      <c r="E54" s="226" t="s">
        <v>514</v>
      </c>
      <c r="F54" s="226"/>
      <c r="G54" s="184" t="s">
        <v>374</v>
      </c>
      <c r="H54" s="227" t="s">
        <v>36</v>
      </c>
      <c r="I54" s="227" t="s">
        <v>33</v>
      </c>
      <c r="J54" s="227" t="s">
        <v>35</v>
      </c>
      <c r="K54" s="227" t="s">
        <v>35</v>
      </c>
      <c r="L54" s="227" t="s">
        <v>35</v>
      </c>
      <c r="M54" s="206" t="s">
        <v>33</v>
      </c>
      <c r="N54" s="184" t="s">
        <v>459</v>
      </c>
      <c r="O54" s="232">
        <v>1000000</v>
      </c>
      <c r="P54" s="226">
        <v>125</v>
      </c>
      <c r="Q54" s="233">
        <v>0.25</v>
      </c>
      <c r="R54" s="240">
        <f t="shared" si="11"/>
        <v>250000</v>
      </c>
      <c r="S54" s="182">
        <f t="shared" si="12"/>
        <v>31.25</v>
      </c>
      <c r="T54" s="193">
        <f t="shared" si="13"/>
        <v>0.1</v>
      </c>
      <c r="U54" s="193">
        <f t="shared" si="14"/>
        <v>0.25</v>
      </c>
      <c r="V54" s="193">
        <f t="shared" si="15"/>
        <v>4.3301270189221933E-2</v>
      </c>
      <c r="W54" s="195">
        <f t="shared" si="16"/>
        <v>221.04050000000001</v>
      </c>
      <c r="X54" s="195">
        <f t="shared" si="17"/>
        <v>225.9</v>
      </c>
      <c r="Y54" s="195">
        <f t="shared" si="18"/>
        <v>232</v>
      </c>
      <c r="Z54" s="168"/>
      <c r="AA54" s="11"/>
    </row>
    <row r="55" spans="1:27" s="2" customFormat="1" ht="60" x14ac:dyDescent="0.25">
      <c r="A55" s="223" t="s">
        <v>498</v>
      </c>
      <c r="B55" s="216">
        <v>4576</v>
      </c>
      <c r="C55" s="187" t="s">
        <v>61</v>
      </c>
      <c r="D55" s="230" t="s">
        <v>471</v>
      </c>
      <c r="E55" s="226" t="s">
        <v>335</v>
      </c>
      <c r="F55" s="226"/>
      <c r="G55" s="184" t="s">
        <v>374</v>
      </c>
      <c r="H55" s="227" t="s">
        <v>36</v>
      </c>
      <c r="I55" s="227" t="s">
        <v>33</v>
      </c>
      <c r="J55" s="227" t="s">
        <v>35</v>
      </c>
      <c r="K55" s="227" t="s">
        <v>35</v>
      </c>
      <c r="L55" s="227" t="s">
        <v>35</v>
      </c>
      <c r="M55" s="206" t="s">
        <v>33</v>
      </c>
      <c r="N55" s="184" t="s">
        <v>459</v>
      </c>
      <c r="O55" s="232">
        <v>1000000</v>
      </c>
      <c r="P55" s="226">
        <v>125</v>
      </c>
      <c r="Q55" s="233">
        <v>0.25</v>
      </c>
      <c r="R55" s="197">
        <f t="shared" si="11"/>
        <v>250000</v>
      </c>
      <c r="S55" s="182">
        <f t="shared" si="12"/>
        <v>31.25</v>
      </c>
      <c r="T55" s="193">
        <f t="shared" si="13"/>
        <v>0.1</v>
      </c>
      <c r="U55" s="193">
        <f t="shared" si="14"/>
        <v>0.25</v>
      </c>
      <c r="V55" s="194">
        <f t="shared" si="15"/>
        <v>4.3301270189221933E-2</v>
      </c>
      <c r="W55" s="195">
        <f t="shared" si="16"/>
        <v>221.04050000000001</v>
      </c>
      <c r="X55" s="195">
        <f t="shared" si="17"/>
        <v>225.9</v>
      </c>
      <c r="Y55" s="195">
        <f t="shared" si="18"/>
        <v>232</v>
      </c>
      <c r="Z55" s="168"/>
      <c r="AA55" s="11"/>
    </row>
    <row r="56" spans="1:27" s="2" customFormat="1" ht="30" x14ac:dyDescent="0.25">
      <c r="A56" s="223" t="s">
        <v>499</v>
      </c>
      <c r="B56" s="216">
        <v>4577</v>
      </c>
      <c r="C56" s="187" t="s">
        <v>61</v>
      </c>
      <c r="D56" s="230" t="s">
        <v>472</v>
      </c>
      <c r="E56" s="226" t="s">
        <v>526</v>
      </c>
      <c r="F56" s="226"/>
      <c r="G56" s="184" t="s">
        <v>374</v>
      </c>
      <c r="H56" s="227" t="s">
        <v>36</v>
      </c>
      <c r="I56" s="227" t="s">
        <v>33</v>
      </c>
      <c r="J56" s="227" t="s">
        <v>35</v>
      </c>
      <c r="K56" s="227" t="s">
        <v>35</v>
      </c>
      <c r="L56" s="227" t="s">
        <v>35</v>
      </c>
      <c r="M56" s="206" t="s">
        <v>33</v>
      </c>
      <c r="N56" s="184" t="s">
        <v>459</v>
      </c>
      <c r="O56" s="232">
        <v>500000</v>
      </c>
      <c r="P56" s="226">
        <v>60</v>
      </c>
      <c r="Q56" s="241">
        <v>0.1</v>
      </c>
      <c r="R56" s="197">
        <f t="shared" si="11"/>
        <v>50000</v>
      </c>
      <c r="S56" s="182">
        <f t="shared" si="12"/>
        <v>6</v>
      </c>
      <c r="T56" s="193">
        <f t="shared" si="13"/>
        <v>0.1</v>
      </c>
      <c r="U56" s="193">
        <f t="shared" si="14"/>
        <v>0.25</v>
      </c>
      <c r="V56" s="194">
        <f t="shared" si="15"/>
        <v>4.3301270189221933E-2</v>
      </c>
      <c r="W56" s="195">
        <f t="shared" si="16"/>
        <v>85.520250000000004</v>
      </c>
      <c r="X56" s="195">
        <f t="shared" si="17"/>
        <v>87.95</v>
      </c>
      <c r="Y56" s="195">
        <f t="shared" si="18"/>
        <v>91</v>
      </c>
      <c r="Z56" s="168"/>
      <c r="AA56" s="11"/>
    </row>
    <row r="57" spans="1:27" s="2" customFormat="1" ht="30" x14ac:dyDescent="0.25">
      <c r="A57" s="223" t="s">
        <v>500</v>
      </c>
      <c r="B57" s="216">
        <v>4578</v>
      </c>
      <c r="C57" s="187" t="s">
        <v>61</v>
      </c>
      <c r="D57" s="230" t="s">
        <v>473</v>
      </c>
      <c r="E57" s="226" t="s">
        <v>335</v>
      </c>
      <c r="F57" s="226"/>
      <c r="G57" s="184" t="s">
        <v>374</v>
      </c>
      <c r="H57" s="227" t="s">
        <v>155</v>
      </c>
      <c r="I57" s="227" t="s">
        <v>33</v>
      </c>
      <c r="J57" s="227" t="s">
        <v>36</v>
      </c>
      <c r="K57" s="227" t="s">
        <v>35</v>
      </c>
      <c r="L57" s="227" t="s">
        <v>35</v>
      </c>
      <c r="M57" s="284" t="s">
        <v>36</v>
      </c>
      <c r="N57" s="184" t="s">
        <v>459</v>
      </c>
      <c r="O57" s="232">
        <v>1100000</v>
      </c>
      <c r="P57" s="226">
        <v>125</v>
      </c>
      <c r="Q57" s="241">
        <v>0.1</v>
      </c>
      <c r="R57" s="197">
        <f t="shared" si="11"/>
        <v>110000</v>
      </c>
      <c r="S57" s="182">
        <f t="shared" si="12"/>
        <v>12.5</v>
      </c>
      <c r="T57" s="193">
        <f t="shared" si="13"/>
        <v>0</v>
      </c>
      <c r="U57" s="193">
        <f t="shared" si="14"/>
        <v>0.1</v>
      </c>
      <c r="V57" s="194">
        <f t="shared" si="15"/>
        <v>2.8867513459481291E-2</v>
      </c>
      <c r="W57" s="195">
        <f t="shared" si="16"/>
        <v>88.763033333333325</v>
      </c>
      <c r="X57" s="195">
        <f t="shared" si="17"/>
        <v>92.326666666666654</v>
      </c>
      <c r="Y57" s="195">
        <f t="shared" si="18"/>
        <v>96.8</v>
      </c>
      <c r="Z57" s="168"/>
      <c r="AA57" s="11"/>
    </row>
    <row r="58" spans="1:27" s="2" customFormat="1" ht="30" x14ac:dyDescent="0.25">
      <c r="A58" s="223" t="s">
        <v>501</v>
      </c>
      <c r="B58" s="216">
        <v>4579</v>
      </c>
      <c r="C58" s="187" t="s">
        <v>61</v>
      </c>
      <c r="D58" s="230" t="s">
        <v>474</v>
      </c>
      <c r="E58" s="226" t="s">
        <v>335</v>
      </c>
      <c r="F58" s="226"/>
      <c r="G58" s="184" t="s">
        <v>374</v>
      </c>
      <c r="H58" s="227" t="s">
        <v>36</v>
      </c>
      <c r="I58" s="227" t="s">
        <v>36</v>
      </c>
      <c r="J58" s="227" t="s">
        <v>36</v>
      </c>
      <c r="K58" s="227" t="s">
        <v>35</v>
      </c>
      <c r="L58" s="227" t="s">
        <v>35</v>
      </c>
      <c r="M58" s="284" t="s">
        <v>36</v>
      </c>
      <c r="N58" s="184" t="s">
        <v>459</v>
      </c>
      <c r="O58" s="232">
        <v>620000</v>
      </c>
      <c r="P58" s="226">
        <v>65</v>
      </c>
      <c r="Q58" s="241">
        <v>0.15</v>
      </c>
      <c r="R58" s="197">
        <f t="shared" si="11"/>
        <v>93000</v>
      </c>
      <c r="S58" s="182">
        <f t="shared" si="12"/>
        <v>9.75</v>
      </c>
      <c r="T58" s="193">
        <f t="shared" si="13"/>
        <v>0.1</v>
      </c>
      <c r="U58" s="193">
        <f t="shared" si="14"/>
        <v>0.25</v>
      </c>
      <c r="V58" s="194">
        <f t="shared" si="15"/>
        <v>4.3301270189221933E-2</v>
      </c>
      <c r="W58" s="195">
        <f t="shared" si="16"/>
        <v>116.37844333333332</v>
      </c>
      <c r="X58" s="195">
        <f t="shared" si="17"/>
        <v>119.39133333333334</v>
      </c>
      <c r="Y58" s="195">
        <f t="shared" si="18"/>
        <v>123.17333333333333</v>
      </c>
      <c r="Z58" s="168"/>
      <c r="AA58" s="11"/>
    </row>
    <row r="59" spans="1:27" s="2" customFormat="1" ht="30" x14ac:dyDescent="0.25">
      <c r="A59" s="223" t="s">
        <v>502</v>
      </c>
      <c r="B59" s="216">
        <v>4580</v>
      </c>
      <c r="C59" s="187" t="s">
        <v>61</v>
      </c>
      <c r="D59" s="230" t="s">
        <v>475</v>
      </c>
      <c r="E59" s="226" t="s">
        <v>524</v>
      </c>
      <c r="F59" s="226"/>
      <c r="G59" s="184" t="s">
        <v>374</v>
      </c>
      <c r="H59" s="227" t="s">
        <v>36</v>
      </c>
      <c r="I59" s="227" t="s">
        <v>36</v>
      </c>
      <c r="J59" s="227" t="s">
        <v>35</v>
      </c>
      <c r="K59" s="227" t="s">
        <v>35</v>
      </c>
      <c r="L59" s="227" t="s">
        <v>35</v>
      </c>
      <c r="M59" s="284" t="s">
        <v>36</v>
      </c>
      <c r="N59" s="184" t="s">
        <v>459</v>
      </c>
      <c r="O59" s="232">
        <v>520000</v>
      </c>
      <c r="P59" s="226">
        <v>65</v>
      </c>
      <c r="Q59" s="241">
        <v>0.25</v>
      </c>
      <c r="R59" s="197">
        <f t="shared" si="11"/>
        <v>130000</v>
      </c>
      <c r="S59" s="182">
        <f t="shared" si="12"/>
        <v>16.25</v>
      </c>
      <c r="T59" s="193">
        <f t="shared" si="13"/>
        <v>0.1</v>
      </c>
      <c r="U59" s="193">
        <f t="shared" si="14"/>
        <v>0.25</v>
      </c>
      <c r="V59" s="194">
        <f t="shared" si="15"/>
        <v>4.3301270189221933E-2</v>
      </c>
      <c r="W59" s="195">
        <f t="shared" si="16"/>
        <v>114.94105999999999</v>
      </c>
      <c r="X59" s="195">
        <f t="shared" si="17"/>
        <v>117.468</v>
      </c>
      <c r="Y59" s="195">
        <f t="shared" si="18"/>
        <v>120.64</v>
      </c>
      <c r="Z59" s="168"/>
      <c r="AA59" s="11"/>
    </row>
    <row r="60" spans="1:27" s="2" customFormat="1" ht="30" x14ac:dyDescent="0.25">
      <c r="A60" s="223" t="s">
        <v>503</v>
      </c>
      <c r="B60" s="216">
        <v>4581</v>
      </c>
      <c r="C60" s="187" t="s">
        <v>61</v>
      </c>
      <c r="D60" s="230" t="s">
        <v>476</v>
      </c>
      <c r="E60" s="226" t="s">
        <v>524</v>
      </c>
      <c r="F60" s="226"/>
      <c r="G60" s="184" t="s">
        <v>374</v>
      </c>
      <c r="H60" s="227" t="s">
        <v>36</v>
      </c>
      <c r="I60" s="227" t="s">
        <v>36</v>
      </c>
      <c r="J60" s="227" t="s">
        <v>155</v>
      </c>
      <c r="K60" s="227" t="s">
        <v>35</v>
      </c>
      <c r="L60" s="227" t="s">
        <v>35</v>
      </c>
      <c r="M60" s="284" t="s">
        <v>36</v>
      </c>
      <c r="N60" s="184" t="s">
        <v>459</v>
      </c>
      <c r="O60" s="232">
        <v>570000</v>
      </c>
      <c r="P60" s="226">
        <v>65</v>
      </c>
      <c r="Q60" s="241">
        <v>0.15</v>
      </c>
      <c r="R60" s="197">
        <f t="shared" si="11"/>
        <v>85500</v>
      </c>
      <c r="S60" s="182">
        <f t="shared" si="12"/>
        <v>9.75</v>
      </c>
      <c r="T60" s="193">
        <f t="shared" si="13"/>
        <v>0.1</v>
      </c>
      <c r="U60" s="193">
        <f t="shared" si="14"/>
        <v>0.25</v>
      </c>
      <c r="V60" s="194">
        <f t="shared" si="15"/>
        <v>4.3301270189221933E-2</v>
      </c>
      <c r="W60" s="195">
        <f t="shared" si="16"/>
        <v>106.99308500000001</v>
      </c>
      <c r="X60" s="195">
        <f t="shared" si="17"/>
        <v>109.76300000000001</v>
      </c>
      <c r="Y60" s="195">
        <f t="shared" si="18"/>
        <v>113.24</v>
      </c>
      <c r="Z60" s="168"/>
      <c r="AA60" s="11"/>
    </row>
    <row r="61" spans="1:27" s="2" customFormat="1" x14ac:dyDescent="0.25">
      <c r="A61" s="223" t="s">
        <v>504</v>
      </c>
      <c r="B61" s="216">
        <v>4582</v>
      </c>
      <c r="C61" s="187" t="s">
        <v>61</v>
      </c>
      <c r="D61" s="230" t="s">
        <v>477</v>
      </c>
      <c r="E61" s="226" t="s">
        <v>527</v>
      </c>
      <c r="F61" s="226"/>
      <c r="G61" s="184" t="s">
        <v>374</v>
      </c>
      <c r="H61" s="227" t="s">
        <v>36</v>
      </c>
      <c r="I61" s="227" t="s">
        <v>33</v>
      </c>
      <c r="J61" s="227" t="s">
        <v>35</v>
      </c>
      <c r="K61" s="227" t="s">
        <v>35</v>
      </c>
      <c r="L61" s="227" t="s">
        <v>155</v>
      </c>
      <c r="M61" s="206" t="s">
        <v>33</v>
      </c>
      <c r="N61" s="184" t="s">
        <v>459</v>
      </c>
      <c r="O61" s="232">
        <v>1000000</v>
      </c>
      <c r="P61" s="226">
        <v>125</v>
      </c>
      <c r="Q61" s="241">
        <v>0.25</v>
      </c>
      <c r="R61" s="197">
        <f t="shared" si="11"/>
        <v>250000</v>
      </c>
      <c r="S61" s="182">
        <f t="shared" si="12"/>
        <v>31.25</v>
      </c>
      <c r="T61" s="193">
        <f t="shared" si="13"/>
        <v>0.1</v>
      </c>
      <c r="U61" s="193">
        <f t="shared" si="14"/>
        <v>0.25</v>
      </c>
      <c r="V61" s="194">
        <f t="shared" si="15"/>
        <v>4.3301270189221933E-2</v>
      </c>
      <c r="W61" s="195">
        <f t="shared" si="16"/>
        <v>221.04050000000001</v>
      </c>
      <c r="X61" s="195">
        <f t="shared" si="17"/>
        <v>225.9</v>
      </c>
      <c r="Y61" s="195">
        <f t="shared" si="18"/>
        <v>232</v>
      </c>
      <c r="Z61" s="168"/>
      <c r="AA61" s="11"/>
    </row>
    <row r="62" spans="1:27" s="2" customFormat="1" ht="30" x14ac:dyDescent="0.25">
      <c r="A62" s="223" t="s">
        <v>505</v>
      </c>
      <c r="B62" s="216">
        <v>4583</v>
      </c>
      <c r="C62" s="187" t="s">
        <v>61</v>
      </c>
      <c r="D62" s="230" t="s">
        <v>478</v>
      </c>
      <c r="E62" s="226" t="s">
        <v>335</v>
      </c>
      <c r="F62" s="226"/>
      <c r="G62" s="184" t="s">
        <v>374</v>
      </c>
      <c r="H62" s="227" t="s">
        <v>36</v>
      </c>
      <c r="I62" s="227" t="s">
        <v>36</v>
      </c>
      <c r="J62" s="227" t="s">
        <v>36</v>
      </c>
      <c r="K62" s="227" t="s">
        <v>35</v>
      </c>
      <c r="L62" s="227" t="s">
        <v>155</v>
      </c>
      <c r="M62" s="284" t="s">
        <v>36</v>
      </c>
      <c r="N62" s="184" t="s">
        <v>459</v>
      </c>
      <c r="O62" s="232">
        <v>620000</v>
      </c>
      <c r="P62" s="226">
        <v>65</v>
      </c>
      <c r="Q62" s="241">
        <v>0.25</v>
      </c>
      <c r="R62" s="197">
        <f t="shared" si="11"/>
        <v>155000</v>
      </c>
      <c r="S62" s="182">
        <f t="shared" si="12"/>
        <v>16.25</v>
      </c>
      <c r="T62" s="193">
        <f t="shared" si="13"/>
        <v>0.1</v>
      </c>
      <c r="U62" s="193">
        <f t="shared" si="14"/>
        <v>0.25</v>
      </c>
      <c r="V62" s="194">
        <f t="shared" si="15"/>
        <v>4.3301270189221933E-2</v>
      </c>
      <c r="W62" s="195">
        <f t="shared" si="16"/>
        <v>137.04510999999999</v>
      </c>
      <c r="X62" s="195">
        <f t="shared" si="17"/>
        <v>140.05799999999999</v>
      </c>
      <c r="Y62" s="195">
        <f t="shared" si="18"/>
        <v>143.84</v>
      </c>
      <c r="Z62" s="168"/>
      <c r="AA62" s="11"/>
    </row>
    <row r="63" spans="1:27" s="2" customFormat="1" ht="30" x14ac:dyDescent="0.25">
      <c r="A63" s="223" t="s">
        <v>506</v>
      </c>
      <c r="B63" s="285">
        <v>4584</v>
      </c>
      <c r="C63" s="187" t="s">
        <v>61</v>
      </c>
      <c r="D63" s="230" t="s">
        <v>326</v>
      </c>
      <c r="E63" s="226" t="s">
        <v>363</v>
      </c>
      <c r="F63" s="226"/>
      <c r="G63" s="184" t="s">
        <v>374</v>
      </c>
      <c r="H63" s="227" t="s">
        <v>36</v>
      </c>
      <c r="I63" s="227" t="s">
        <v>36</v>
      </c>
      <c r="J63" s="227" t="s">
        <v>36</v>
      </c>
      <c r="K63" s="227" t="s">
        <v>35</v>
      </c>
      <c r="L63" s="227" t="s">
        <v>35</v>
      </c>
      <c r="M63" s="284" t="s">
        <v>36</v>
      </c>
      <c r="N63" s="184" t="s">
        <v>459</v>
      </c>
      <c r="O63" s="232">
        <v>620000</v>
      </c>
      <c r="P63" s="226">
        <v>65</v>
      </c>
      <c r="Q63" s="241">
        <v>0.25</v>
      </c>
      <c r="R63" s="197">
        <f t="shared" si="11"/>
        <v>155000</v>
      </c>
      <c r="S63" s="182">
        <f t="shared" si="12"/>
        <v>16.25</v>
      </c>
      <c r="T63" s="193">
        <f t="shared" si="13"/>
        <v>0.1</v>
      </c>
      <c r="U63" s="193">
        <f t="shared" si="14"/>
        <v>0.25</v>
      </c>
      <c r="V63" s="194">
        <f t="shared" si="15"/>
        <v>4.3301270189221933E-2</v>
      </c>
      <c r="W63" s="195">
        <f t="shared" si="16"/>
        <v>137.04510999999999</v>
      </c>
      <c r="X63" s="195">
        <f t="shared" si="17"/>
        <v>140.05799999999999</v>
      </c>
      <c r="Y63" s="195">
        <f t="shared" si="18"/>
        <v>143.84</v>
      </c>
      <c r="Z63" s="209"/>
      <c r="AA63" s="11"/>
    </row>
    <row r="65" spans="1:27" s="2" customFormat="1" ht="45" x14ac:dyDescent="0.25">
      <c r="A65" s="182" t="s">
        <v>111</v>
      </c>
      <c r="B65" s="183">
        <v>3382</v>
      </c>
      <c r="C65" s="184" t="s">
        <v>61</v>
      </c>
      <c r="D65" s="242" t="s">
        <v>305</v>
      </c>
      <c r="E65" s="187" t="s">
        <v>381</v>
      </c>
      <c r="F65" s="243"/>
      <c r="G65" s="184" t="s">
        <v>374</v>
      </c>
      <c r="H65" s="184" t="s">
        <v>155</v>
      </c>
      <c r="I65" s="184" t="s">
        <v>36</v>
      </c>
      <c r="J65" s="184" t="s">
        <v>36</v>
      </c>
      <c r="K65" s="184" t="s">
        <v>35</v>
      </c>
      <c r="L65" s="184" t="s">
        <v>35</v>
      </c>
      <c r="M65" s="284" t="s">
        <v>36</v>
      </c>
      <c r="N65" s="184" t="s">
        <v>112</v>
      </c>
      <c r="O65" s="197">
        <v>50000</v>
      </c>
      <c r="P65" s="182">
        <v>30</v>
      </c>
      <c r="Q65" s="244">
        <v>0.05</v>
      </c>
      <c r="R65" s="197">
        <f>O65*Q65</f>
        <v>2500</v>
      </c>
      <c r="S65" s="182">
        <f>P65*Q65</f>
        <v>1.5</v>
      </c>
      <c r="T65" s="245">
        <f>IF(H65="VL",0,IF(H65="L",0.1,IF(H65="M",0.25,IF(H65="H",0.75,IF(H65="VH",0.9,1)))))</f>
        <v>0</v>
      </c>
      <c r="U65" s="193">
        <f>IF(H65="VL",0.1,IF(H65="L",0.25,IF(H65="M",0.75,IF(H65="H",0.9,IF(H65="VH",1,1)))))</f>
        <v>0.1</v>
      </c>
      <c r="V65" s="194">
        <f>(U65-T65)/SQRT(12)</f>
        <v>2.8867513459481291E-2</v>
      </c>
      <c r="W65" s="195">
        <f>($O65*($Q65+$T65+$U65)/3 + $O65*($U65-$T65)/6*0.84162)/1000</f>
        <v>3.2013500000000006</v>
      </c>
      <c r="X65" s="195">
        <f>($O65*($Q65+$T65+$U65)/3 + $O65*($U65-$T65)/6*1.036)/1000</f>
        <v>3.3633333333333337</v>
      </c>
      <c r="Y65" s="195">
        <f>($O65*($Q65+$T65+$U65)/3 + $O65*($U65-$T65)/6*1.28)/1000</f>
        <v>3.5666666666666669</v>
      </c>
      <c r="Z65" s="168"/>
      <c r="AA65" s="11"/>
    </row>
    <row r="66" spans="1:27" s="2" customFormat="1" ht="30" x14ac:dyDescent="0.25">
      <c r="A66" s="182" t="s">
        <v>9</v>
      </c>
      <c r="B66" s="183">
        <v>3383</v>
      </c>
      <c r="C66" s="184" t="s">
        <v>61</v>
      </c>
      <c r="D66" s="242" t="s">
        <v>441</v>
      </c>
      <c r="E66" s="187" t="s">
        <v>514</v>
      </c>
      <c r="F66" s="243"/>
      <c r="G66" s="184" t="s">
        <v>374</v>
      </c>
      <c r="H66" s="184" t="s">
        <v>36</v>
      </c>
      <c r="I66" s="184" t="s">
        <v>34</v>
      </c>
      <c r="J66" s="184" t="s">
        <v>155</v>
      </c>
      <c r="K66" s="184" t="s">
        <v>35</v>
      </c>
      <c r="L66" s="184" t="s">
        <v>35</v>
      </c>
      <c r="M66" s="206" t="s">
        <v>33</v>
      </c>
      <c r="N66" s="184" t="s">
        <v>8</v>
      </c>
      <c r="O66" s="197">
        <v>100000</v>
      </c>
      <c r="P66" s="182">
        <v>250</v>
      </c>
      <c r="Q66" s="244">
        <v>0.05</v>
      </c>
      <c r="R66" s="197">
        <f>O66*Q66</f>
        <v>5000</v>
      </c>
      <c r="S66" s="182">
        <f>P66*Q66</f>
        <v>12.5</v>
      </c>
      <c r="T66" s="193">
        <f>IF(H66="VL",0,IF(H66="L",0.1,IF(H66="M",0.25,IF(H66="H",0.75,IF(H66="VH",0.9,1)))))</f>
        <v>0.1</v>
      </c>
      <c r="U66" s="193">
        <f>IF(H66="VL",0.1,IF(H66="L",0.25,IF(H66="M",0.75,IF(H66="H",0.9,IF(H66="VH",1,1)))))</f>
        <v>0.25</v>
      </c>
      <c r="V66" s="194">
        <f>(U66-T66)/SQRT(12)</f>
        <v>4.3301270189221933E-2</v>
      </c>
      <c r="W66" s="195">
        <f>($O66*($Q66+$T66+$U66)/3 + $O66*($U66-$T66)/6*0.84162)/1000</f>
        <v>15.437383333333335</v>
      </c>
      <c r="X66" s="195">
        <f>($O66*($Q66+$T66+$U66)/3 + $O66*($U66-$T66)/6*1.036)/1000</f>
        <v>15.923333333333334</v>
      </c>
      <c r="Y66" s="195">
        <f>($O66*($Q66+$T66+$U66)/3 + $O66*($U66-$T66)/6*1.28)/1000</f>
        <v>16.533333333333335</v>
      </c>
      <c r="Z66" s="168"/>
      <c r="AA66" s="11"/>
    </row>
    <row r="67" spans="1:27" s="2" customFormat="1" ht="45" x14ac:dyDescent="0.25">
      <c r="A67" s="182" t="s">
        <v>195</v>
      </c>
      <c r="B67" s="183">
        <v>3385</v>
      </c>
      <c r="C67" s="184" t="s">
        <v>61</v>
      </c>
      <c r="D67" s="242" t="s">
        <v>196</v>
      </c>
      <c r="E67" s="187" t="s">
        <v>368</v>
      </c>
      <c r="F67" s="243">
        <v>62000</v>
      </c>
      <c r="G67" s="184" t="s">
        <v>374</v>
      </c>
      <c r="H67" s="184" t="s">
        <v>36</v>
      </c>
      <c r="I67" s="184" t="s">
        <v>35</v>
      </c>
      <c r="J67" s="184" t="s">
        <v>33</v>
      </c>
      <c r="K67" s="184" t="s">
        <v>33</v>
      </c>
      <c r="L67" s="184" t="s">
        <v>35</v>
      </c>
      <c r="M67" s="206" t="s">
        <v>33</v>
      </c>
      <c r="N67" s="184" t="s">
        <v>8</v>
      </c>
      <c r="O67" s="197">
        <v>100000</v>
      </c>
      <c r="P67" s="182"/>
      <c r="Q67" s="244">
        <v>0.25</v>
      </c>
      <c r="R67" s="197">
        <f>O67*Q67</f>
        <v>25000</v>
      </c>
      <c r="S67" s="182">
        <f>P67*Q67</f>
        <v>0</v>
      </c>
      <c r="T67" s="193">
        <f>IF(H67="VL",0,IF(H67="L",0.1,IF(H67="M",0.25,IF(H67="H",0.75,IF(H67="VH",0.9,1)))))</f>
        <v>0.1</v>
      </c>
      <c r="U67" s="193">
        <f>IF(H67="VL",0.1,IF(H67="L",0.25,IF(H67="M",0.75,IF(H67="H",0.9,IF(H67="VH",1,1)))))</f>
        <v>0.25</v>
      </c>
      <c r="V67" s="194">
        <f>(U67-T67)/SQRT(12)</f>
        <v>4.3301270189221933E-2</v>
      </c>
      <c r="W67" s="195">
        <f>($O67*($Q67+$T67+$U67)/3 + $O67*($U67-$T67)/6*0.84162)/1000</f>
        <v>22.104050000000001</v>
      </c>
      <c r="X67" s="195">
        <f>($O67*($Q67+$T67+$U67)/3 + $O67*($U67-$T67)/6*1.036)/1000</f>
        <v>22.59</v>
      </c>
      <c r="Y67" s="195">
        <f>($O67*($Q67+$T67+$U67)/3 + $O67*($U67-$T67)/6*1.28)/1000</f>
        <v>23.2</v>
      </c>
      <c r="Z67" s="168"/>
      <c r="AA67" s="11"/>
    </row>
    <row r="68" spans="1:27" s="2" customFormat="1" x14ac:dyDescent="0.25">
      <c r="A68" s="182" t="s">
        <v>118</v>
      </c>
      <c r="B68" s="183">
        <v>3390</v>
      </c>
      <c r="C68" s="184" t="s">
        <v>61</v>
      </c>
      <c r="D68" s="242" t="s">
        <v>119</v>
      </c>
      <c r="E68" s="187" t="s">
        <v>368</v>
      </c>
      <c r="F68" s="243">
        <v>5000</v>
      </c>
      <c r="G68" s="184" t="s">
        <v>374</v>
      </c>
      <c r="H68" s="184" t="s">
        <v>36</v>
      </c>
      <c r="I68" s="184" t="s">
        <v>33</v>
      </c>
      <c r="J68" s="184" t="s">
        <v>34</v>
      </c>
      <c r="K68" s="184" t="s">
        <v>36</v>
      </c>
      <c r="L68" s="184" t="s">
        <v>35</v>
      </c>
      <c r="M68" s="206" t="s">
        <v>33</v>
      </c>
      <c r="N68" s="184" t="s">
        <v>8</v>
      </c>
      <c r="O68" s="197">
        <v>500000</v>
      </c>
      <c r="P68" s="182">
        <v>40</v>
      </c>
      <c r="Q68" s="244">
        <v>0.1</v>
      </c>
      <c r="R68" s="197">
        <f>O68*Q68</f>
        <v>50000</v>
      </c>
      <c r="S68" s="182">
        <f>P68*Q68</f>
        <v>4</v>
      </c>
      <c r="T68" s="193">
        <f>IF(H68="VL",0,IF(H68="L",0.1,IF(H68="M",0.25,IF(H68="H",0.75,IF(H68="VH",0.9,1)))))</f>
        <v>0.1</v>
      </c>
      <c r="U68" s="193">
        <f>IF(H68="VL",0.1,IF(H68="L",0.25,IF(H68="M",0.75,IF(H68="H",0.9,IF(H68="VH",1,1)))))</f>
        <v>0.25</v>
      </c>
      <c r="V68" s="194">
        <f>(U68-T68)/SQRT(12)</f>
        <v>4.3301270189221933E-2</v>
      </c>
      <c r="W68" s="195">
        <f>($O68*($Q68+$T68+$U68)/3 + $O68*($U68-$T68)/6*0.84162)/1000</f>
        <v>85.520250000000004</v>
      </c>
      <c r="X68" s="195">
        <f>($O68*($Q68+$T68+$U68)/3 + $O68*($U68-$T68)/6*1.036)/1000</f>
        <v>87.95</v>
      </c>
      <c r="Y68" s="195">
        <f>($O68*($Q68+$T68+$U68)/3 + $O68*($U68-$T68)/6*1.28)/1000</f>
        <v>91</v>
      </c>
      <c r="Z68" s="168"/>
      <c r="AA68" s="11"/>
    </row>
    <row r="70" spans="1:27" s="2" customFormat="1" x14ac:dyDescent="0.25">
      <c r="A70" s="182" t="s">
        <v>437</v>
      </c>
      <c r="B70" s="216">
        <v>4445</v>
      </c>
      <c r="C70" s="184" t="s">
        <v>61</v>
      </c>
      <c r="D70" s="230" t="s">
        <v>535</v>
      </c>
      <c r="E70" s="187" t="s">
        <v>381</v>
      </c>
      <c r="F70" s="247">
        <v>5000</v>
      </c>
      <c r="G70" s="184" t="s">
        <v>374</v>
      </c>
      <c r="H70" s="220" t="s">
        <v>33</v>
      </c>
      <c r="I70" s="220" t="s">
        <v>35</v>
      </c>
      <c r="J70" s="220" t="s">
        <v>36</v>
      </c>
      <c r="K70" s="220" t="s">
        <v>33</v>
      </c>
      <c r="L70" s="220" t="s">
        <v>35</v>
      </c>
      <c r="M70" s="206" t="s">
        <v>33</v>
      </c>
      <c r="N70" s="184" t="s">
        <v>8</v>
      </c>
      <c r="O70" s="211">
        <v>50000</v>
      </c>
      <c r="P70" s="187">
        <v>0</v>
      </c>
      <c r="Q70" s="246">
        <v>0.05</v>
      </c>
      <c r="R70" s="197">
        <f t="shared" ref="R70:R89" si="19">O70*Q70</f>
        <v>2500</v>
      </c>
      <c r="S70" s="182">
        <f t="shared" ref="S70:S89" si="20">P70*Q70</f>
        <v>0</v>
      </c>
      <c r="T70" s="193">
        <f t="shared" ref="T70:T88" si="21">IF(H70="VL",0,IF(H70="L",0.1,IF(H70="M",0.25,IF(H70="H",0.75,IF(H70="VH",0.9,1)))))</f>
        <v>0.25</v>
      </c>
      <c r="U70" s="193">
        <f t="shared" ref="U70:U88" si="22">IF(H70="VL",0.1,IF(H70="L",0.25,IF(H70="M",0.75,IF(H70="H",0.9,IF(H70="VH",1,1)))))</f>
        <v>0.75</v>
      </c>
      <c r="V70" s="194">
        <f t="shared" ref="V70:V89" si="23">(U70-T70)/SQRT(12)</f>
        <v>0.14433756729740646</v>
      </c>
      <c r="W70" s="195">
        <f t="shared" ref="W70:W89" si="24">($O70*($Q70+$T70+$U70)/3 + $O70*($U70-$T70)/6*0.84162)/1000</f>
        <v>21.00675</v>
      </c>
      <c r="X70" s="195">
        <f t="shared" ref="X70:X89" si="25">($O70*($Q70+$T70+$U70)/3 + $O70*($U70-$T70)/6*1.036)/1000</f>
        <v>21.816666666666666</v>
      </c>
      <c r="Y70" s="195">
        <f t="shared" ref="Y70:Y89" si="26">($O70*($Q70+$T70+$U70)/3 + $O70*($U70-$T70)/6*1.28)/1000</f>
        <v>22.833333333333336</v>
      </c>
      <c r="Z70" s="168"/>
      <c r="AA70" s="11"/>
    </row>
    <row r="71" spans="1:27" s="2" customFormat="1" ht="30" x14ac:dyDescent="0.25">
      <c r="A71" s="182" t="s">
        <v>438</v>
      </c>
      <c r="B71" s="183">
        <v>4446</v>
      </c>
      <c r="C71" s="184" t="s">
        <v>121</v>
      </c>
      <c r="D71" s="215" t="s">
        <v>434</v>
      </c>
      <c r="E71" s="187" t="s">
        <v>385</v>
      </c>
      <c r="F71" s="184"/>
      <c r="G71" s="184" t="s">
        <v>374</v>
      </c>
      <c r="H71" s="184" t="s">
        <v>34</v>
      </c>
      <c r="I71" s="184" t="s">
        <v>35</v>
      </c>
      <c r="J71" s="184" t="s">
        <v>36</v>
      </c>
      <c r="K71" s="184" t="s">
        <v>35</v>
      </c>
      <c r="L71" s="184" t="s">
        <v>35</v>
      </c>
      <c r="M71" s="206" t="s">
        <v>33</v>
      </c>
      <c r="N71" s="184" t="s">
        <v>8</v>
      </c>
      <c r="O71" s="211">
        <v>-50000</v>
      </c>
      <c r="P71" s="187">
        <v>0</v>
      </c>
      <c r="Q71" s="246">
        <v>0.25</v>
      </c>
      <c r="R71" s="197">
        <f t="shared" si="19"/>
        <v>-12500</v>
      </c>
      <c r="S71" s="182">
        <f t="shared" si="20"/>
        <v>0</v>
      </c>
      <c r="T71" s="193">
        <f t="shared" si="21"/>
        <v>0.75</v>
      </c>
      <c r="U71" s="193">
        <f t="shared" si="22"/>
        <v>0.9</v>
      </c>
      <c r="V71" s="194">
        <f t="shared" si="23"/>
        <v>4.330127018922194E-2</v>
      </c>
      <c r="W71" s="195">
        <f t="shared" si="24"/>
        <v>-32.718691666666672</v>
      </c>
      <c r="X71" s="195">
        <f t="shared" si="25"/>
        <v>-32.961666666666673</v>
      </c>
      <c r="Y71" s="195">
        <f t="shared" si="26"/>
        <v>-33.266666666666673</v>
      </c>
      <c r="Z71" s="168"/>
      <c r="AA71" s="11"/>
    </row>
    <row r="72" spans="1:27" s="2" customFormat="1" x14ac:dyDescent="0.25">
      <c r="A72" s="182" t="s">
        <v>439</v>
      </c>
      <c r="B72" s="183">
        <v>4447</v>
      </c>
      <c r="C72" s="184" t="s">
        <v>121</v>
      </c>
      <c r="D72" s="219" t="s">
        <v>536</v>
      </c>
      <c r="E72" s="187" t="s">
        <v>381</v>
      </c>
      <c r="F72" s="184"/>
      <c r="G72" s="184" t="s">
        <v>374</v>
      </c>
      <c r="H72" s="184" t="s">
        <v>33</v>
      </c>
      <c r="I72" s="184" t="s">
        <v>35</v>
      </c>
      <c r="J72" s="184" t="s">
        <v>33</v>
      </c>
      <c r="K72" s="184" t="s">
        <v>35</v>
      </c>
      <c r="L72" s="184" t="s">
        <v>35</v>
      </c>
      <c r="M72" s="206" t="s">
        <v>33</v>
      </c>
      <c r="N72" s="184" t="s">
        <v>8</v>
      </c>
      <c r="O72" s="211">
        <v>-100000</v>
      </c>
      <c r="P72" s="187">
        <v>0</v>
      </c>
      <c r="Q72" s="246">
        <v>0.5</v>
      </c>
      <c r="R72" s="197">
        <f t="shared" si="19"/>
        <v>-50000</v>
      </c>
      <c r="S72" s="182">
        <f t="shared" si="20"/>
        <v>0</v>
      </c>
      <c r="T72" s="193">
        <f t="shared" si="21"/>
        <v>0.25</v>
      </c>
      <c r="U72" s="193">
        <f t="shared" si="22"/>
        <v>0.75</v>
      </c>
      <c r="V72" s="194">
        <f t="shared" si="23"/>
        <v>0.14433756729740646</v>
      </c>
      <c r="W72" s="195">
        <f t="shared" si="24"/>
        <v>-57.013500000000001</v>
      </c>
      <c r="X72" s="195">
        <f t="shared" si="25"/>
        <v>-58.633333333333333</v>
      </c>
      <c r="Y72" s="195">
        <f t="shared" si="26"/>
        <v>-60.666666666666671</v>
      </c>
      <c r="Z72" s="168"/>
      <c r="AA72" s="11"/>
    </row>
    <row r="73" spans="1:27" s="2" customFormat="1" ht="45" x14ac:dyDescent="0.25">
      <c r="A73" s="182" t="s">
        <v>440</v>
      </c>
      <c r="B73" s="183">
        <v>4444</v>
      </c>
      <c r="C73" s="184" t="s">
        <v>61</v>
      </c>
      <c r="D73" s="215" t="s">
        <v>537</v>
      </c>
      <c r="E73" s="184" t="s">
        <v>613</v>
      </c>
      <c r="F73" s="184"/>
      <c r="G73" s="184" t="s">
        <v>374</v>
      </c>
      <c r="H73" s="184" t="s">
        <v>33</v>
      </c>
      <c r="I73" s="184" t="s">
        <v>35</v>
      </c>
      <c r="J73" s="184" t="s">
        <v>64</v>
      </c>
      <c r="K73" s="184" t="s">
        <v>33</v>
      </c>
      <c r="L73" s="184" t="s">
        <v>35</v>
      </c>
      <c r="M73" s="196" t="s">
        <v>34</v>
      </c>
      <c r="N73" s="184" t="s">
        <v>8</v>
      </c>
      <c r="O73" s="211">
        <v>1000000</v>
      </c>
      <c r="P73" s="187">
        <v>0</v>
      </c>
      <c r="Q73" s="246">
        <v>0.25</v>
      </c>
      <c r="R73" s="197">
        <f t="shared" si="19"/>
        <v>250000</v>
      </c>
      <c r="S73" s="182">
        <f t="shared" si="20"/>
        <v>0</v>
      </c>
      <c r="T73" s="193">
        <f t="shared" si="21"/>
        <v>0.25</v>
      </c>
      <c r="U73" s="193">
        <f t="shared" si="22"/>
        <v>0.75</v>
      </c>
      <c r="V73" s="194">
        <f t="shared" si="23"/>
        <v>0.14433756729740646</v>
      </c>
      <c r="W73" s="195">
        <f t="shared" si="24"/>
        <v>486.80166666666668</v>
      </c>
      <c r="X73" s="195">
        <f t="shared" si="25"/>
        <v>503</v>
      </c>
      <c r="Y73" s="195">
        <f t="shared" si="26"/>
        <v>523.33333333333337</v>
      </c>
      <c r="Z73" s="209">
        <f>SUM(W65:W73)</f>
        <v>544.33925833333331</v>
      </c>
      <c r="AA73" s="11"/>
    </row>
    <row r="74" spans="1:27" s="2" customFormat="1" ht="30" x14ac:dyDescent="0.25">
      <c r="A74" s="182" t="s">
        <v>3</v>
      </c>
      <c r="B74" s="183">
        <v>3393</v>
      </c>
      <c r="C74" s="184" t="s">
        <v>61</v>
      </c>
      <c r="D74" s="215" t="s">
        <v>4</v>
      </c>
      <c r="E74" s="184" t="s">
        <v>348</v>
      </c>
      <c r="F74" s="186"/>
      <c r="G74" s="184" t="s">
        <v>374</v>
      </c>
      <c r="H74" s="184" t="s">
        <v>33</v>
      </c>
      <c r="I74" s="184" t="s">
        <v>35</v>
      </c>
      <c r="J74" s="184" t="s">
        <v>34</v>
      </c>
      <c r="K74" s="184" t="s">
        <v>35</v>
      </c>
      <c r="L74" s="184" t="s">
        <v>35</v>
      </c>
      <c r="M74" s="196" t="s">
        <v>34</v>
      </c>
      <c r="N74" s="184" t="s">
        <v>612</v>
      </c>
      <c r="O74" s="211">
        <v>500000</v>
      </c>
      <c r="P74" s="187"/>
      <c r="Q74" s="246">
        <v>0.25</v>
      </c>
      <c r="R74" s="197">
        <f t="shared" si="19"/>
        <v>125000</v>
      </c>
      <c r="S74" s="182">
        <f t="shared" si="20"/>
        <v>0</v>
      </c>
      <c r="T74" s="193">
        <f t="shared" si="21"/>
        <v>0.25</v>
      </c>
      <c r="U74" s="193">
        <f t="shared" si="22"/>
        <v>0.75</v>
      </c>
      <c r="V74" s="194">
        <f t="shared" si="23"/>
        <v>0.14433756729740646</v>
      </c>
      <c r="W74" s="195">
        <f t="shared" si="24"/>
        <v>243.40083333333334</v>
      </c>
      <c r="X74" s="195">
        <f t="shared" si="25"/>
        <v>251.5</v>
      </c>
      <c r="Y74" s="195">
        <f t="shared" si="26"/>
        <v>261.66666666666669</v>
      </c>
      <c r="Z74" s="168"/>
      <c r="AA74" s="11"/>
    </row>
    <row r="75" spans="1:27" s="2" customFormat="1" ht="30" x14ac:dyDescent="0.25">
      <c r="A75" s="182" t="s">
        <v>191</v>
      </c>
      <c r="B75" s="183">
        <v>3394</v>
      </c>
      <c r="C75" s="184" t="s">
        <v>61</v>
      </c>
      <c r="D75" s="215" t="s">
        <v>192</v>
      </c>
      <c r="E75" s="184" t="s">
        <v>355</v>
      </c>
      <c r="F75" s="186"/>
      <c r="G75" s="184" t="s">
        <v>374</v>
      </c>
      <c r="H75" s="184" t="s">
        <v>33</v>
      </c>
      <c r="I75" s="184" t="s">
        <v>35</v>
      </c>
      <c r="J75" s="184" t="s">
        <v>36</v>
      </c>
      <c r="K75" s="184" t="s">
        <v>35</v>
      </c>
      <c r="L75" s="184" t="s">
        <v>35</v>
      </c>
      <c r="M75" s="284" t="s">
        <v>36</v>
      </c>
      <c r="N75" s="184" t="s">
        <v>612</v>
      </c>
      <c r="O75" s="211">
        <v>70000</v>
      </c>
      <c r="P75" s="187"/>
      <c r="Q75" s="246">
        <v>0.5</v>
      </c>
      <c r="R75" s="197">
        <f t="shared" si="19"/>
        <v>35000</v>
      </c>
      <c r="S75" s="182">
        <f t="shared" si="20"/>
        <v>0</v>
      </c>
      <c r="T75" s="193">
        <f t="shared" si="21"/>
        <v>0.25</v>
      </c>
      <c r="U75" s="193">
        <f t="shared" si="22"/>
        <v>0.75</v>
      </c>
      <c r="V75" s="194">
        <f t="shared" si="23"/>
        <v>0.14433756729740646</v>
      </c>
      <c r="W75" s="195">
        <f t="shared" si="24"/>
        <v>39.90945</v>
      </c>
      <c r="X75" s="195">
        <f t="shared" si="25"/>
        <v>41.043333333333337</v>
      </c>
      <c r="Y75" s="195">
        <f t="shared" si="26"/>
        <v>42.466666666666661</v>
      </c>
      <c r="Z75" s="168"/>
      <c r="AA75" s="11"/>
    </row>
    <row r="76" spans="1:27" s="2" customFormat="1" ht="30" x14ac:dyDescent="0.25">
      <c r="A76" s="182" t="s">
        <v>197</v>
      </c>
      <c r="B76" s="183">
        <v>3395</v>
      </c>
      <c r="C76" s="184" t="s">
        <v>61</v>
      </c>
      <c r="D76" s="215" t="s">
        <v>198</v>
      </c>
      <c r="E76" s="342" t="s">
        <v>527</v>
      </c>
      <c r="F76" s="186"/>
      <c r="G76" s="184" t="s">
        <v>374</v>
      </c>
      <c r="H76" s="184" t="s">
        <v>33</v>
      </c>
      <c r="I76" s="184" t="s">
        <v>35</v>
      </c>
      <c r="J76" s="184" t="s">
        <v>155</v>
      </c>
      <c r="K76" s="184" t="s">
        <v>35</v>
      </c>
      <c r="L76" s="184" t="s">
        <v>35</v>
      </c>
      <c r="M76" s="284" t="s">
        <v>36</v>
      </c>
      <c r="N76" s="184" t="s">
        <v>612</v>
      </c>
      <c r="O76" s="211">
        <v>100000</v>
      </c>
      <c r="P76" s="187"/>
      <c r="Q76" s="246">
        <v>0.5</v>
      </c>
      <c r="R76" s="197">
        <f t="shared" si="19"/>
        <v>50000</v>
      </c>
      <c r="S76" s="182">
        <f t="shared" si="20"/>
        <v>0</v>
      </c>
      <c r="T76" s="193">
        <f t="shared" si="21"/>
        <v>0.25</v>
      </c>
      <c r="U76" s="193">
        <f t="shared" si="22"/>
        <v>0.75</v>
      </c>
      <c r="V76" s="194">
        <f t="shared" si="23"/>
        <v>0.14433756729740646</v>
      </c>
      <c r="W76" s="195">
        <f t="shared" si="24"/>
        <v>57.013500000000001</v>
      </c>
      <c r="X76" s="195">
        <f t="shared" si="25"/>
        <v>58.633333333333333</v>
      </c>
      <c r="Y76" s="195">
        <f t="shared" si="26"/>
        <v>60.666666666666671</v>
      </c>
      <c r="Z76" s="168"/>
      <c r="AA76" s="11"/>
    </row>
    <row r="77" spans="1:27" s="2" customFormat="1" ht="30" x14ac:dyDescent="0.25">
      <c r="A77" s="182" t="s">
        <v>193</v>
      </c>
      <c r="B77" s="183">
        <v>3396</v>
      </c>
      <c r="C77" s="184" t="s">
        <v>121</v>
      </c>
      <c r="D77" s="215" t="s">
        <v>375</v>
      </c>
      <c r="E77" s="184" t="s">
        <v>512</v>
      </c>
      <c r="F77" s="186"/>
      <c r="G77" s="184" t="s">
        <v>374</v>
      </c>
      <c r="H77" s="184" t="s">
        <v>33</v>
      </c>
      <c r="I77" s="184" t="s">
        <v>35</v>
      </c>
      <c r="J77" s="184" t="s">
        <v>36</v>
      </c>
      <c r="K77" s="184" t="s">
        <v>35</v>
      </c>
      <c r="L77" s="184" t="s">
        <v>35</v>
      </c>
      <c r="M77" s="284" t="s">
        <v>36</v>
      </c>
      <c r="N77" s="184" t="s">
        <v>612</v>
      </c>
      <c r="O77" s="211">
        <v>-30000</v>
      </c>
      <c r="P77" s="187"/>
      <c r="Q77" s="246">
        <v>0.5</v>
      </c>
      <c r="R77" s="197">
        <f t="shared" si="19"/>
        <v>-15000</v>
      </c>
      <c r="S77" s="182">
        <f t="shared" si="20"/>
        <v>0</v>
      </c>
      <c r="T77" s="193">
        <f t="shared" si="21"/>
        <v>0.25</v>
      </c>
      <c r="U77" s="193">
        <f t="shared" si="22"/>
        <v>0.75</v>
      </c>
      <c r="V77" s="194">
        <f t="shared" si="23"/>
        <v>0.14433756729740646</v>
      </c>
      <c r="W77" s="195">
        <f t="shared" si="24"/>
        <v>-17.104050000000001</v>
      </c>
      <c r="X77" s="195">
        <f t="shared" si="25"/>
        <v>-17.59</v>
      </c>
      <c r="Y77" s="195">
        <f t="shared" si="26"/>
        <v>-18.2</v>
      </c>
      <c r="Z77" s="168"/>
      <c r="AA77" s="11"/>
    </row>
    <row r="78" spans="1:27" s="2" customFormat="1" ht="30" x14ac:dyDescent="0.25">
      <c r="A78" s="182" t="s">
        <v>25</v>
      </c>
      <c r="B78" s="183">
        <v>3397</v>
      </c>
      <c r="C78" s="184" t="s">
        <v>121</v>
      </c>
      <c r="D78" s="215" t="s">
        <v>161</v>
      </c>
      <c r="E78" s="184" t="s">
        <v>512</v>
      </c>
      <c r="F78" s="186"/>
      <c r="G78" s="184" t="s">
        <v>374</v>
      </c>
      <c r="H78" s="184" t="s">
        <v>36</v>
      </c>
      <c r="I78" s="184" t="s">
        <v>35</v>
      </c>
      <c r="J78" s="184" t="s">
        <v>36</v>
      </c>
      <c r="K78" s="184" t="s">
        <v>35</v>
      </c>
      <c r="L78" s="184" t="s">
        <v>35</v>
      </c>
      <c r="M78" s="284" t="s">
        <v>36</v>
      </c>
      <c r="N78" s="184" t="s">
        <v>612</v>
      </c>
      <c r="O78" s="211">
        <v>-20000</v>
      </c>
      <c r="P78" s="187"/>
      <c r="Q78" s="246">
        <v>0.1</v>
      </c>
      <c r="R78" s="197">
        <f t="shared" si="19"/>
        <v>-2000</v>
      </c>
      <c r="S78" s="182">
        <f t="shared" si="20"/>
        <v>0</v>
      </c>
      <c r="T78" s="193">
        <f t="shared" si="21"/>
        <v>0.1</v>
      </c>
      <c r="U78" s="193">
        <f t="shared" si="22"/>
        <v>0.25</v>
      </c>
      <c r="V78" s="194">
        <f t="shared" si="23"/>
        <v>4.3301270189221933E-2</v>
      </c>
      <c r="W78" s="195">
        <f t="shared" si="24"/>
        <v>-3.4208099999999999</v>
      </c>
      <c r="X78" s="195">
        <f t="shared" si="25"/>
        <v>-3.5179999999999998</v>
      </c>
      <c r="Y78" s="195">
        <f t="shared" si="26"/>
        <v>-3.64</v>
      </c>
      <c r="Z78" s="168"/>
      <c r="AA78" s="11"/>
    </row>
    <row r="79" spans="1:27" s="2" customFormat="1" ht="45" x14ac:dyDescent="0.25">
      <c r="A79" s="182" t="s">
        <v>232</v>
      </c>
      <c r="B79" s="183">
        <v>3398</v>
      </c>
      <c r="C79" s="184" t="s">
        <v>121</v>
      </c>
      <c r="D79" s="215" t="s">
        <v>233</v>
      </c>
      <c r="E79" s="184" t="s">
        <v>513</v>
      </c>
      <c r="F79" s="186"/>
      <c r="G79" s="184" t="s">
        <v>374</v>
      </c>
      <c r="H79" s="184" t="s">
        <v>36</v>
      </c>
      <c r="I79" s="184" t="s">
        <v>35</v>
      </c>
      <c r="J79" s="184" t="s">
        <v>36</v>
      </c>
      <c r="K79" s="184" t="s">
        <v>35</v>
      </c>
      <c r="L79" s="184" t="s">
        <v>35</v>
      </c>
      <c r="M79" s="284" t="s">
        <v>36</v>
      </c>
      <c r="N79" s="184" t="s">
        <v>612</v>
      </c>
      <c r="O79" s="211">
        <v>-40000</v>
      </c>
      <c r="P79" s="187"/>
      <c r="Q79" s="246">
        <v>0.3</v>
      </c>
      <c r="R79" s="197">
        <f t="shared" si="19"/>
        <v>-12000</v>
      </c>
      <c r="S79" s="182">
        <f t="shared" si="20"/>
        <v>0</v>
      </c>
      <c r="T79" s="193">
        <f t="shared" si="21"/>
        <v>0.1</v>
      </c>
      <c r="U79" s="193">
        <f t="shared" si="22"/>
        <v>0.25</v>
      </c>
      <c r="V79" s="194">
        <f t="shared" si="23"/>
        <v>4.3301270189221933E-2</v>
      </c>
      <c r="W79" s="195">
        <f t="shared" si="24"/>
        <v>-9.5082866666666668</v>
      </c>
      <c r="X79" s="195">
        <f t="shared" si="25"/>
        <v>-9.7026666666666657</v>
      </c>
      <c r="Y79" s="195">
        <f t="shared" si="26"/>
        <v>-9.9466666666666654</v>
      </c>
      <c r="Z79" s="168"/>
      <c r="AA79" s="11"/>
    </row>
    <row r="80" spans="1:27" s="2" customFormat="1" ht="45" x14ac:dyDescent="0.25">
      <c r="A80" s="182" t="s">
        <v>184</v>
      </c>
      <c r="B80" s="183">
        <v>3399</v>
      </c>
      <c r="C80" s="184" t="s">
        <v>121</v>
      </c>
      <c r="D80" s="215" t="s">
        <v>185</v>
      </c>
      <c r="E80" s="184">
        <v>50</v>
      </c>
      <c r="F80" s="186"/>
      <c r="G80" s="184" t="s">
        <v>374</v>
      </c>
      <c r="H80" s="184" t="s">
        <v>36</v>
      </c>
      <c r="I80" s="184" t="s">
        <v>35</v>
      </c>
      <c r="J80" s="184" t="s">
        <v>36</v>
      </c>
      <c r="K80" s="184" t="s">
        <v>35</v>
      </c>
      <c r="L80" s="184" t="s">
        <v>35</v>
      </c>
      <c r="M80" s="284" t="s">
        <v>36</v>
      </c>
      <c r="N80" s="184" t="s">
        <v>612</v>
      </c>
      <c r="O80" s="211">
        <v>-40000</v>
      </c>
      <c r="P80" s="187"/>
      <c r="Q80" s="246">
        <v>0.1</v>
      </c>
      <c r="R80" s="197">
        <f t="shared" si="19"/>
        <v>-4000</v>
      </c>
      <c r="S80" s="182">
        <f t="shared" si="20"/>
        <v>0</v>
      </c>
      <c r="T80" s="193">
        <f t="shared" si="21"/>
        <v>0.1</v>
      </c>
      <c r="U80" s="193">
        <f t="shared" si="22"/>
        <v>0.25</v>
      </c>
      <c r="V80" s="194">
        <f t="shared" si="23"/>
        <v>4.3301270189221933E-2</v>
      </c>
      <c r="W80" s="195">
        <f t="shared" si="24"/>
        <v>-6.8416199999999998</v>
      </c>
      <c r="X80" s="195">
        <f t="shared" si="25"/>
        <v>-7.0359999999999996</v>
      </c>
      <c r="Y80" s="195">
        <f t="shared" si="26"/>
        <v>-7.28</v>
      </c>
      <c r="Z80" s="209">
        <f>SUM(W74:W80)</f>
        <v>303.44901666666669</v>
      </c>
      <c r="AA80" s="11"/>
    </row>
    <row r="81" spans="1:27" s="2" customFormat="1" ht="45" x14ac:dyDescent="0.25">
      <c r="A81" s="182" t="s">
        <v>75</v>
      </c>
      <c r="B81" s="183">
        <v>3400</v>
      </c>
      <c r="C81" s="184" t="s">
        <v>61</v>
      </c>
      <c r="D81" s="215" t="s">
        <v>303</v>
      </c>
      <c r="E81" s="184" t="s">
        <v>348</v>
      </c>
      <c r="F81" s="186">
        <v>2000000</v>
      </c>
      <c r="G81" s="184" t="s">
        <v>374</v>
      </c>
      <c r="H81" s="184" t="s">
        <v>36</v>
      </c>
      <c r="I81" s="184" t="s">
        <v>35</v>
      </c>
      <c r="J81" s="184" t="s">
        <v>34</v>
      </c>
      <c r="K81" s="184" t="s">
        <v>34</v>
      </c>
      <c r="L81" s="184" t="s">
        <v>35</v>
      </c>
      <c r="M81" s="206" t="s">
        <v>33</v>
      </c>
      <c r="N81" s="184" t="s">
        <v>76</v>
      </c>
      <c r="O81" s="211">
        <v>2000000</v>
      </c>
      <c r="P81" s="187">
        <v>0</v>
      </c>
      <c r="Q81" s="246">
        <v>0.1</v>
      </c>
      <c r="R81" s="197">
        <f t="shared" si="19"/>
        <v>200000</v>
      </c>
      <c r="S81" s="182">
        <f t="shared" si="20"/>
        <v>0</v>
      </c>
      <c r="T81" s="193">
        <f t="shared" si="21"/>
        <v>0.1</v>
      </c>
      <c r="U81" s="193">
        <f t="shared" si="22"/>
        <v>0.25</v>
      </c>
      <c r="V81" s="194">
        <f t="shared" si="23"/>
        <v>4.3301270189221933E-2</v>
      </c>
      <c r="W81" s="195">
        <f t="shared" si="24"/>
        <v>342.08100000000002</v>
      </c>
      <c r="X81" s="195">
        <f t="shared" si="25"/>
        <v>351.8</v>
      </c>
      <c r="Y81" s="195">
        <f t="shared" si="26"/>
        <v>364</v>
      </c>
      <c r="Z81" s="168"/>
      <c r="AA81" s="11"/>
    </row>
    <row r="82" spans="1:27" s="2" customFormat="1" x14ac:dyDescent="0.25">
      <c r="A82" s="182" t="s">
        <v>178</v>
      </c>
      <c r="B82" s="183">
        <v>3402</v>
      </c>
      <c r="C82" s="184" t="s">
        <v>61</v>
      </c>
      <c r="D82" s="215" t="s">
        <v>179</v>
      </c>
      <c r="E82" s="187" t="s">
        <v>614</v>
      </c>
      <c r="F82" s="186"/>
      <c r="G82" s="184" t="s">
        <v>374</v>
      </c>
      <c r="H82" s="184" t="s">
        <v>36</v>
      </c>
      <c r="I82" s="184" t="s">
        <v>35</v>
      </c>
      <c r="J82" s="184" t="s">
        <v>36</v>
      </c>
      <c r="K82" s="184" t="s">
        <v>155</v>
      </c>
      <c r="L82" s="184" t="s">
        <v>35</v>
      </c>
      <c r="M82" s="206" t="s">
        <v>33</v>
      </c>
      <c r="N82" s="184" t="s">
        <v>76</v>
      </c>
      <c r="O82" s="211">
        <v>50000</v>
      </c>
      <c r="P82" s="187"/>
      <c r="Q82" s="246">
        <v>0.2</v>
      </c>
      <c r="R82" s="197">
        <f t="shared" si="19"/>
        <v>10000</v>
      </c>
      <c r="S82" s="182">
        <f t="shared" si="20"/>
        <v>0</v>
      </c>
      <c r="T82" s="193">
        <f t="shared" si="21"/>
        <v>0.1</v>
      </c>
      <c r="U82" s="193">
        <f t="shared" si="22"/>
        <v>0.25</v>
      </c>
      <c r="V82" s="194">
        <f t="shared" si="23"/>
        <v>4.3301270189221933E-2</v>
      </c>
      <c r="W82" s="195">
        <f t="shared" si="24"/>
        <v>10.218691666666668</v>
      </c>
      <c r="X82" s="195">
        <f t="shared" si="25"/>
        <v>10.461666666666668</v>
      </c>
      <c r="Y82" s="195">
        <f t="shared" si="26"/>
        <v>10.766666666666667</v>
      </c>
      <c r="Z82" s="168"/>
      <c r="AA82" s="11"/>
    </row>
    <row r="83" spans="1:27" s="2" customFormat="1" ht="45" x14ac:dyDescent="0.25">
      <c r="A83" s="182" t="s">
        <v>378</v>
      </c>
      <c r="B83" s="183">
        <v>4199</v>
      </c>
      <c r="C83" s="187" t="s">
        <v>61</v>
      </c>
      <c r="D83" s="219" t="s">
        <v>376</v>
      </c>
      <c r="E83" s="184" t="s">
        <v>511</v>
      </c>
      <c r="F83" s="186"/>
      <c r="G83" s="184" t="s">
        <v>374</v>
      </c>
      <c r="H83" s="184" t="s">
        <v>36</v>
      </c>
      <c r="I83" s="184" t="s">
        <v>34</v>
      </c>
      <c r="J83" s="184" t="s">
        <v>34</v>
      </c>
      <c r="K83" s="184" t="s">
        <v>33</v>
      </c>
      <c r="L83" s="184" t="s">
        <v>35</v>
      </c>
      <c r="M83" s="206" t="s">
        <v>33</v>
      </c>
      <c r="N83" s="184" t="s">
        <v>377</v>
      </c>
      <c r="O83" s="211">
        <v>500000</v>
      </c>
      <c r="P83" s="187">
        <v>200</v>
      </c>
      <c r="Q83" s="246">
        <v>0.2</v>
      </c>
      <c r="R83" s="197">
        <f t="shared" si="19"/>
        <v>100000</v>
      </c>
      <c r="S83" s="182">
        <f t="shared" si="20"/>
        <v>40</v>
      </c>
      <c r="T83" s="193">
        <f t="shared" si="21"/>
        <v>0.1</v>
      </c>
      <c r="U83" s="193">
        <f t="shared" si="22"/>
        <v>0.25</v>
      </c>
      <c r="V83" s="194">
        <f t="shared" si="23"/>
        <v>4.3301270189221933E-2</v>
      </c>
      <c r="W83" s="195">
        <f t="shared" si="24"/>
        <v>102.18691666666668</v>
      </c>
      <c r="X83" s="195">
        <f t="shared" si="25"/>
        <v>104.61666666666667</v>
      </c>
      <c r="Y83" s="195">
        <f t="shared" si="26"/>
        <v>107.66666666666667</v>
      </c>
      <c r="Z83" s="168"/>
      <c r="AA83" s="11"/>
    </row>
    <row r="84" spans="1:27" s="2" customFormat="1" ht="30" x14ac:dyDescent="0.25">
      <c r="A84" s="182" t="s">
        <v>265</v>
      </c>
      <c r="B84" s="183">
        <v>4257</v>
      </c>
      <c r="C84" s="184" t="s">
        <v>61</v>
      </c>
      <c r="D84" s="215" t="s">
        <v>382</v>
      </c>
      <c r="E84" s="184" t="s">
        <v>512</v>
      </c>
      <c r="F84" s="248"/>
      <c r="G84" s="184" t="s">
        <v>374</v>
      </c>
      <c r="H84" s="184" t="s">
        <v>36</v>
      </c>
      <c r="I84" s="184" t="s">
        <v>35</v>
      </c>
      <c r="J84" s="184" t="s">
        <v>155</v>
      </c>
      <c r="K84" s="184" t="s">
        <v>35</v>
      </c>
      <c r="L84" s="184" t="s">
        <v>35</v>
      </c>
      <c r="M84" s="284" t="s">
        <v>36</v>
      </c>
      <c r="N84" s="184" t="s">
        <v>76</v>
      </c>
      <c r="O84" s="211">
        <v>50000</v>
      </c>
      <c r="P84" s="187">
        <v>0</v>
      </c>
      <c r="Q84" s="246">
        <v>0.2</v>
      </c>
      <c r="R84" s="197">
        <f t="shared" si="19"/>
        <v>10000</v>
      </c>
      <c r="S84" s="182">
        <f t="shared" si="20"/>
        <v>0</v>
      </c>
      <c r="T84" s="193">
        <f t="shared" si="21"/>
        <v>0.1</v>
      </c>
      <c r="U84" s="193">
        <f t="shared" si="22"/>
        <v>0.25</v>
      </c>
      <c r="V84" s="194">
        <f t="shared" si="23"/>
        <v>4.3301270189221933E-2</v>
      </c>
      <c r="W84" s="195">
        <f t="shared" si="24"/>
        <v>10.218691666666668</v>
      </c>
      <c r="X84" s="195">
        <f t="shared" si="25"/>
        <v>10.461666666666668</v>
      </c>
      <c r="Y84" s="195">
        <f t="shared" si="26"/>
        <v>10.766666666666667</v>
      </c>
      <c r="Z84" s="168"/>
      <c r="AA84" s="11"/>
    </row>
    <row r="85" spans="1:27" s="2" customFormat="1" ht="30" x14ac:dyDescent="0.25">
      <c r="A85" s="182" t="s">
        <v>266</v>
      </c>
      <c r="B85" s="183">
        <v>4260</v>
      </c>
      <c r="C85" s="184" t="s">
        <v>61</v>
      </c>
      <c r="D85" s="215" t="s">
        <v>383</v>
      </c>
      <c r="E85" s="184" t="s">
        <v>615</v>
      </c>
      <c r="F85" s="248"/>
      <c r="G85" s="184" t="s">
        <v>374</v>
      </c>
      <c r="H85" s="184" t="s">
        <v>36</v>
      </c>
      <c r="I85" s="184" t="s">
        <v>35</v>
      </c>
      <c r="J85" s="184" t="s">
        <v>36</v>
      </c>
      <c r="K85" s="184" t="s">
        <v>35</v>
      </c>
      <c r="L85" s="184" t="s">
        <v>35</v>
      </c>
      <c r="M85" s="284" t="s">
        <v>36</v>
      </c>
      <c r="N85" s="184" t="s">
        <v>76</v>
      </c>
      <c r="O85" s="211">
        <v>150000</v>
      </c>
      <c r="P85" s="187">
        <v>0</v>
      </c>
      <c r="Q85" s="205">
        <v>0.2</v>
      </c>
      <c r="R85" s="197">
        <f t="shared" si="19"/>
        <v>30000</v>
      </c>
      <c r="S85" s="182">
        <f t="shared" si="20"/>
        <v>0</v>
      </c>
      <c r="T85" s="193">
        <f t="shared" si="21"/>
        <v>0.1</v>
      </c>
      <c r="U85" s="193">
        <f t="shared" si="22"/>
        <v>0.25</v>
      </c>
      <c r="V85" s="194">
        <f t="shared" si="23"/>
        <v>4.3301270189221933E-2</v>
      </c>
      <c r="W85" s="195">
        <f t="shared" si="24"/>
        <v>30.656075000000001</v>
      </c>
      <c r="X85" s="195">
        <f t="shared" si="25"/>
        <v>31.385000000000002</v>
      </c>
      <c r="Y85" s="195">
        <f t="shared" si="26"/>
        <v>32.299999999999997</v>
      </c>
      <c r="Z85" s="217"/>
      <c r="AA85" s="11"/>
    </row>
    <row r="86" spans="1:27" s="2" customFormat="1" ht="45" x14ac:dyDescent="0.25">
      <c r="A86" s="182" t="s">
        <v>268</v>
      </c>
      <c r="B86" s="183">
        <v>4262</v>
      </c>
      <c r="C86" s="184" t="s">
        <v>121</v>
      </c>
      <c r="D86" s="215" t="s">
        <v>384</v>
      </c>
      <c r="E86" s="184" t="s">
        <v>385</v>
      </c>
      <c r="F86" s="248"/>
      <c r="G86" s="184" t="s">
        <v>374</v>
      </c>
      <c r="H86" s="184" t="s">
        <v>33</v>
      </c>
      <c r="I86" s="184" t="s">
        <v>35</v>
      </c>
      <c r="J86" s="184" t="s">
        <v>36</v>
      </c>
      <c r="K86" s="184" t="s">
        <v>35</v>
      </c>
      <c r="L86" s="184" t="s">
        <v>35</v>
      </c>
      <c r="M86" s="284" t="s">
        <v>36</v>
      </c>
      <c r="N86" s="184" t="s">
        <v>76</v>
      </c>
      <c r="O86" s="211">
        <v>-100000</v>
      </c>
      <c r="P86" s="187">
        <v>0</v>
      </c>
      <c r="Q86" s="205">
        <v>0.5</v>
      </c>
      <c r="R86" s="197">
        <f t="shared" si="19"/>
        <v>-50000</v>
      </c>
      <c r="S86" s="182">
        <f t="shared" si="20"/>
        <v>0</v>
      </c>
      <c r="T86" s="193">
        <f t="shared" si="21"/>
        <v>0.25</v>
      </c>
      <c r="U86" s="193">
        <f t="shared" si="22"/>
        <v>0.75</v>
      </c>
      <c r="V86" s="194">
        <f t="shared" si="23"/>
        <v>0.14433756729740646</v>
      </c>
      <c r="W86" s="195">
        <f t="shared" si="24"/>
        <v>-57.013500000000001</v>
      </c>
      <c r="X86" s="195">
        <f t="shared" si="25"/>
        <v>-58.633333333333333</v>
      </c>
      <c r="Y86" s="195">
        <f t="shared" si="26"/>
        <v>-60.666666666666671</v>
      </c>
      <c r="Z86" s="217"/>
      <c r="AA86" s="11"/>
    </row>
    <row r="87" spans="1:27" s="2" customFormat="1" ht="30" x14ac:dyDescent="0.25">
      <c r="A87" s="182" t="s">
        <v>269</v>
      </c>
      <c r="B87" s="183">
        <v>4259</v>
      </c>
      <c r="C87" s="184" t="s">
        <v>121</v>
      </c>
      <c r="D87" s="215" t="s">
        <v>386</v>
      </c>
      <c r="E87" s="184" t="s">
        <v>615</v>
      </c>
      <c r="F87" s="248"/>
      <c r="G87" s="184" t="s">
        <v>374</v>
      </c>
      <c r="H87" s="184" t="s">
        <v>33</v>
      </c>
      <c r="I87" s="184" t="s">
        <v>35</v>
      </c>
      <c r="J87" s="184" t="s">
        <v>36</v>
      </c>
      <c r="K87" s="184" t="s">
        <v>35</v>
      </c>
      <c r="L87" s="184" t="s">
        <v>35</v>
      </c>
      <c r="M87" s="284" t="s">
        <v>36</v>
      </c>
      <c r="N87" s="184" t="s">
        <v>76</v>
      </c>
      <c r="O87" s="211">
        <v>-100000</v>
      </c>
      <c r="P87" s="187">
        <v>0</v>
      </c>
      <c r="Q87" s="205">
        <v>0.5</v>
      </c>
      <c r="R87" s="197">
        <f t="shared" si="19"/>
        <v>-50000</v>
      </c>
      <c r="S87" s="182">
        <f t="shared" si="20"/>
        <v>0</v>
      </c>
      <c r="T87" s="193">
        <f t="shared" si="21"/>
        <v>0.25</v>
      </c>
      <c r="U87" s="193">
        <f t="shared" si="22"/>
        <v>0.75</v>
      </c>
      <c r="V87" s="194">
        <f t="shared" si="23"/>
        <v>0.14433756729740646</v>
      </c>
      <c r="W87" s="195">
        <f t="shared" si="24"/>
        <v>-57.013500000000001</v>
      </c>
      <c r="X87" s="195">
        <f t="shared" si="25"/>
        <v>-58.633333333333333</v>
      </c>
      <c r="Y87" s="195">
        <f t="shared" si="26"/>
        <v>-60.666666666666671</v>
      </c>
      <c r="Z87" s="217"/>
      <c r="AA87" s="11"/>
    </row>
    <row r="88" spans="1:27" s="2" customFormat="1" ht="40.5" customHeight="1" x14ac:dyDescent="0.25">
      <c r="A88" s="182" t="s">
        <v>270</v>
      </c>
      <c r="B88" s="183">
        <v>4263</v>
      </c>
      <c r="C88" s="184" t="s">
        <v>121</v>
      </c>
      <c r="D88" s="249" t="s">
        <v>387</v>
      </c>
      <c r="E88" s="184" t="s">
        <v>615</v>
      </c>
      <c r="F88" s="248"/>
      <c r="G88" s="184" t="s">
        <v>374</v>
      </c>
      <c r="H88" s="184" t="s">
        <v>33</v>
      </c>
      <c r="I88" s="184" t="s">
        <v>35</v>
      </c>
      <c r="J88" s="184" t="s">
        <v>36</v>
      </c>
      <c r="K88" s="184" t="s">
        <v>35</v>
      </c>
      <c r="L88" s="184" t="s">
        <v>35</v>
      </c>
      <c r="M88" s="284" t="s">
        <v>36</v>
      </c>
      <c r="N88" s="184" t="s">
        <v>76</v>
      </c>
      <c r="O88" s="211">
        <v>-200000</v>
      </c>
      <c r="P88" s="187">
        <v>0</v>
      </c>
      <c r="Q88" s="205">
        <v>0.5</v>
      </c>
      <c r="R88" s="197">
        <f t="shared" si="19"/>
        <v>-100000</v>
      </c>
      <c r="S88" s="182">
        <f t="shared" si="20"/>
        <v>0</v>
      </c>
      <c r="T88" s="193">
        <f t="shared" si="21"/>
        <v>0.25</v>
      </c>
      <c r="U88" s="193">
        <f t="shared" si="22"/>
        <v>0.75</v>
      </c>
      <c r="V88" s="194">
        <f t="shared" si="23"/>
        <v>0.14433756729740646</v>
      </c>
      <c r="W88" s="195">
        <f t="shared" si="24"/>
        <v>-114.027</v>
      </c>
      <c r="X88" s="195">
        <f t="shared" si="25"/>
        <v>-117.26666666666667</v>
      </c>
      <c r="Y88" s="195">
        <f t="shared" si="26"/>
        <v>-121.33333333333334</v>
      </c>
      <c r="Z88" s="217"/>
      <c r="AA88" s="11"/>
    </row>
    <row r="89" spans="1:27" s="2" customFormat="1" ht="30.75" thickBot="1" x14ac:dyDescent="0.3">
      <c r="A89" s="182" t="s">
        <v>271</v>
      </c>
      <c r="B89" s="183">
        <v>4258</v>
      </c>
      <c r="C89" s="184" t="s">
        <v>61</v>
      </c>
      <c r="D89" s="215" t="s">
        <v>388</v>
      </c>
      <c r="E89" s="184" t="s">
        <v>348</v>
      </c>
      <c r="F89" s="248"/>
      <c r="G89" s="184" t="s">
        <v>374</v>
      </c>
      <c r="H89" s="184" t="s">
        <v>34</v>
      </c>
      <c r="I89" s="184" t="s">
        <v>35</v>
      </c>
      <c r="J89" s="184" t="s">
        <v>155</v>
      </c>
      <c r="K89" s="184" t="s">
        <v>35</v>
      </c>
      <c r="L89" s="184" t="s">
        <v>35</v>
      </c>
      <c r="M89" s="284" t="s">
        <v>36</v>
      </c>
      <c r="N89" s="184" t="s">
        <v>76</v>
      </c>
      <c r="O89" s="211">
        <v>60000</v>
      </c>
      <c r="P89" s="187">
        <v>0</v>
      </c>
      <c r="Q89" s="205">
        <v>0.8</v>
      </c>
      <c r="R89" s="197">
        <f t="shared" si="19"/>
        <v>48000</v>
      </c>
      <c r="S89" s="182">
        <f t="shared" si="20"/>
        <v>0</v>
      </c>
      <c r="T89" s="193">
        <f>IF($Q89=0,0, IF($Q89 = 100%, 100%,$Q89-12.5%))* IF($T$1="Y", 1, IF(#REF!&lt;0,0,1))</f>
        <v>0.67500000000000004</v>
      </c>
      <c r="U89" s="193">
        <f>IF($Q89=0,0, IF($Q89 = 100%, 100%,$Q89+12.5%))* IF($T$1="Y", 1, IF(#REF!&lt;0,0,1))</f>
        <v>0.92500000000000004</v>
      </c>
      <c r="V89" s="194">
        <f t="shared" si="23"/>
        <v>7.216878364870323E-2</v>
      </c>
      <c r="W89" s="195">
        <f t="shared" si="24"/>
        <v>50.104050000000008</v>
      </c>
      <c r="X89" s="195">
        <f t="shared" si="25"/>
        <v>50.590000000000011</v>
      </c>
      <c r="Y89" s="195">
        <f t="shared" si="26"/>
        <v>51.20000000000001</v>
      </c>
      <c r="Z89" s="209">
        <f>SUM(W81:W89)+1</f>
        <v>318.41142499999995</v>
      </c>
      <c r="AA89" s="11"/>
    </row>
    <row r="90" spans="1:27" ht="17.25" thickBot="1" x14ac:dyDescent="0.3">
      <c r="F90" s="251">
        <f>SUM(F6:F89)</f>
        <v>4342000</v>
      </c>
      <c r="G90" s="252"/>
      <c r="O90" s="253">
        <f>IF($T$1="Y", SUM(O6:O89), SUMIF(O6:O89, "&gt;0", O6:O89))</f>
        <v>57474787</v>
      </c>
      <c r="P90" s="254">
        <f>IF($T$1="Y", SUM(P6:P89), SUMIF(P6:P89, "&gt;0", P6:P89))</f>
        <v>5847</v>
      </c>
      <c r="Q90" s="255"/>
      <c r="R90" s="256">
        <f>IF($T$1="Y", SUM(R6:R89), SUMIF(R6:R89, "&gt;0", R6:R89))</f>
        <v>8073150</v>
      </c>
      <c r="S90" s="257">
        <f>IF($T$1="Y", SUM(S6:S89), SUMIF(S6:S89, "&gt;0", S6:S89))</f>
        <v>725.85</v>
      </c>
      <c r="T90" s="258"/>
      <c r="U90" s="259">
        <f>IF(H26="VL",0.1,IF(H26="L",0.25,IF(H26="M",0.75,IF(H26="H",0.9,IF(H26="VH",1,1)))))</f>
        <v>0.75</v>
      </c>
      <c r="V90" s="259"/>
      <c r="W90" s="260">
        <f>SUM(W6:W89)</f>
        <v>8907.5151533735043</v>
      </c>
      <c r="X90" s="261">
        <f>SUM(X6:X89)</f>
        <v>9187.2755332999968</v>
      </c>
      <c r="Y90" s="261">
        <f>SUM(Y6:Y89)</f>
        <v>9538.4512340000001</v>
      </c>
      <c r="Z90" s="260">
        <f>SUM(Z6:Z89)</f>
        <v>3657.8088267068329</v>
      </c>
    </row>
    <row r="91" spans="1:27" ht="90" x14ac:dyDescent="0.25">
      <c r="E91" s="262" t="s">
        <v>528</v>
      </c>
      <c r="F91" s="263">
        <v>40000</v>
      </c>
      <c r="V91" s="369" t="s">
        <v>655</v>
      </c>
      <c r="W91" s="263">
        <f>8909-2106</f>
        <v>6803</v>
      </c>
    </row>
    <row r="92" spans="1:27" ht="30" x14ac:dyDescent="0.25">
      <c r="E92" s="262" t="s">
        <v>529</v>
      </c>
      <c r="F92" s="263">
        <v>3685000</v>
      </c>
    </row>
    <row r="93" spans="1:27" ht="30.75" thickBot="1" x14ac:dyDescent="0.3">
      <c r="E93" s="262" t="s">
        <v>530</v>
      </c>
      <c r="F93" s="263">
        <v>470000</v>
      </c>
    </row>
    <row r="94" spans="1:27" ht="47.25" customHeight="1" thickBot="1" x14ac:dyDescent="0.3">
      <c r="E94" s="262" t="s">
        <v>531</v>
      </c>
      <c r="F94" s="264">
        <f>SUM(F90:F93)</f>
        <v>8537000</v>
      </c>
    </row>
  </sheetData>
  <sortState ref="A6:Y102">
    <sortCondition ref="A6:A102"/>
  </sortState>
  <customSheetViews>
    <customSheetView guid="{8AF944F7-C3D1-6E48-8544-F246EE5D8D9B}" scale="90" fitToPage="1" topLeftCell="A3">
      <pane ySplit="3.0133333333333336" topLeftCell="A15" activePane="bottomLeft" state="frozenSplit"/>
      <selection pane="bottomLeft" activeCell="F82" sqref="F82"/>
      <pageMargins left="0.7" right="0.7" top="0.75" bottom="0.75" header="0.3" footer="0.3"/>
      <pageSetup scale="28" orientation="portrait" horizontalDpi="4294967292" verticalDpi="4294967292"/>
      <headerFooter>
        <oddFooter>&amp;C&amp;P of &amp;N</oddFooter>
      </headerFooter>
    </customSheetView>
    <customSheetView guid="{2B075AC7-DBBC-D945-A93B-024C897F18C8}" scale="110" showPageBreaks="1" fitToPage="1" printArea="1" topLeftCell="A3">
      <pane ySplit="3.0109890109890109" topLeftCell="A64" activePane="bottomLeft" state="frozenSplit"/>
      <selection pane="bottomLeft" activeCell="J72" sqref="J72"/>
      <pageMargins left="0.7" right="0.7" top="0.75" bottom="0.75" header="0.3" footer="0.3"/>
      <headerFooter>
        <oddFooter>&amp;C&amp;P of &amp;N</oddFooter>
      </headerFooter>
    </customSheetView>
    <customSheetView guid="{7D136558-6337-4481-BB09-697594446B4E}" scale="90" showPageBreaks="1" fitToPage="1" printArea="1" topLeftCell="A3">
      <pane ySplit="3" topLeftCell="A60" activePane="bottomLeft" state="frozenSplit"/>
      <selection pane="bottomLeft" activeCell="E66" sqref="E66"/>
      <pageMargins left="0.7" right="0.7" top="0.75" bottom="0.75" header="0.3" footer="0.3"/>
      <pageSetup scale="28" orientation="portrait" horizontalDpi="4294967292" verticalDpi="4294967292"/>
      <headerFooter>
        <oddFooter>&amp;C&amp;P of &amp;N</oddFooter>
      </headerFooter>
    </customSheetView>
  </customSheetViews>
  <mergeCells count="4">
    <mergeCell ref="T5:U5"/>
    <mergeCell ref="T4:Y4"/>
    <mergeCell ref="A4:D4"/>
    <mergeCell ref="H4:M4"/>
  </mergeCells>
  <phoneticPr fontId="4" type="noConversion"/>
  <conditionalFormatting sqref="C21:C25 C33 C31 C46 C36:C42 C6:C7 C49:C63 C9:C18 C65:C68 C70:C84">
    <cfRule type="cellIs" dxfId="295" priority="241" stopIfTrue="1" operator="equal">
      <formula>"Threat"</formula>
    </cfRule>
    <cfRule type="cellIs" dxfId="294" priority="242" stopIfTrue="1" operator="equal">
      <formula>"Opportunity"</formula>
    </cfRule>
  </conditionalFormatting>
  <conditionalFormatting sqref="V9">
    <cfRule type="cellIs" dxfId="293" priority="231" operator="greaterThan">
      <formula>1</formula>
    </cfRule>
    <cfRule type="cellIs" dxfId="292" priority="232" operator="lessThan">
      <formula>0</formula>
    </cfRule>
  </conditionalFormatting>
  <conditionalFormatting sqref="U54">
    <cfRule type="cellIs" dxfId="291" priority="213" operator="greaterThan">
      <formula>1</formula>
    </cfRule>
    <cfRule type="cellIs" dxfId="290" priority="214" operator="lessThan">
      <formula>0</formula>
    </cfRule>
  </conditionalFormatting>
  <conditionalFormatting sqref="U54">
    <cfRule type="cellIs" dxfId="289" priority="211" operator="equal">
      <formula>1</formula>
    </cfRule>
    <cfRule type="cellIs" dxfId="288" priority="212" operator="equal">
      <formula>0</formula>
    </cfRule>
  </conditionalFormatting>
  <conditionalFormatting sqref="C47:C48">
    <cfRule type="cellIs" dxfId="287" priority="203" stopIfTrue="1" operator="equal">
      <formula>"Threat"</formula>
    </cfRule>
    <cfRule type="cellIs" dxfId="286" priority="204" stopIfTrue="1" operator="equal">
      <formula>"Opportunity"</formula>
    </cfRule>
  </conditionalFormatting>
  <conditionalFormatting sqref="U47:U48">
    <cfRule type="cellIs" dxfId="285" priority="197" operator="greaterThan">
      <formula>1</formula>
    </cfRule>
    <cfRule type="cellIs" dxfId="284" priority="198" operator="lessThan">
      <formula>0</formula>
    </cfRule>
  </conditionalFormatting>
  <conditionalFormatting sqref="U47:U48">
    <cfRule type="cellIs" dxfId="283" priority="195" operator="equal">
      <formula>1</formula>
    </cfRule>
    <cfRule type="cellIs" dxfId="282" priority="196" operator="equal">
      <formula>0</formula>
    </cfRule>
  </conditionalFormatting>
  <conditionalFormatting sqref="U32">
    <cfRule type="cellIs" dxfId="281" priority="181" operator="equal">
      <formula>1</formula>
    </cfRule>
    <cfRule type="cellIs" dxfId="280" priority="182" operator="equal">
      <formula>0</formula>
    </cfRule>
  </conditionalFormatting>
  <conditionalFormatting sqref="C32">
    <cfRule type="cellIs" dxfId="279" priority="191" stopIfTrue="1" operator="equal">
      <formula>"Threat"</formula>
    </cfRule>
    <cfRule type="cellIs" dxfId="278" priority="192" stopIfTrue="1" operator="equal">
      <formula>"Opportunity"</formula>
    </cfRule>
  </conditionalFormatting>
  <conditionalFormatting sqref="V32">
    <cfRule type="cellIs" dxfId="277" priority="189" operator="greaterThan">
      <formula>1</formula>
    </cfRule>
    <cfRule type="cellIs" dxfId="276" priority="190" operator="lessThan">
      <formula>0</formula>
    </cfRule>
  </conditionalFormatting>
  <conditionalFormatting sqref="U32">
    <cfRule type="cellIs" dxfId="275" priority="183" operator="greaterThan">
      <formula>1</formula>
    </cfRule>
    <cfRule type="cellIs" dxfId="274" priority="184" operator="lessThan">
      <formula>0</formula>
    </cfRule>
  </conditionalFormatting>
  <conditionalFormatting sqref="U19">
    <cfRule type="cellIs" dxfId="273" priority="169" operator="equal">
      <formula>1</formula>
    </cfRule>
    <cfRule type="cellIs" dxfId="272" priority="170" operator="equal">
      <formula>0</formula>
    </cfRule>
  </conditionalFormatting>
  <conditionalFormatting sqref="V19">
    <cfRule type="cellIs" dxfId="271" priority="179" operator="greaterThan">
      <formula>1</formula>
    </cfRule>
    <cfRule type="cellIs" dxfId="270" priority="180" operator="lessThan">
      <formula>0</formula>
    </cfRule>
  </conditionalFormatting>
  <conditionalFormatting sqref="C19">
    <cfRule type="cellIs" dxfId="269" priority="177" stopIfTrue="1" operator="equal">
      <formula>"Threat"</formula>
    </cfRule>
    <cfRule type="cellIs" dxfId="268" priority="178" stopIfTrue="1" operator="equal">
      <formula>"Opportunity"</formula>
    </cfRule>
  </conditionalFormatting>
  <conditionalFormatting sqref="U19">
    <cfRule type="cellIs" dxfId="267" priority="171" operator="greaterThan">
      <formula>1</formula>
    </cfRule>
    <cfRule type="cellIs" dxfId="266" priority="172" operator="lessThan">
      <formula>0</formula>
    </cfRule>
  </conditionalFormatting>
  <conditionalFormatting sqref="C26:C27 C43">
    <cfRule type="cellIs" dxfId="265" priority="165" stopIfTrue="1" operator="equal">
      <formula>"Threat"</formula>
    </cfRule>
    <cfRule type="cellIs" dxfId="264" priority="166" stopIfTrue="1" operator="equal">
      <formula>"Opportunity"</formula>
    </cfRule>
  </conditionalFormatting>
  <conditionalFormatting sqref="C44">
    <cfRule type="cellIs" dxfId="263" priority="149" stopIfTrue="1" operator="equal">
      <formula>"Threat"</formula>
    </cfRule>
    <cfRule type="cellIs" dxfId="262" priority="150" stopIfTrue="1" operator="equal">
      <formula>"Opportunity"</formula>
    </cfRule>
  </conditionalFormatting>
  <conditionalFormatting sqref="C28">
    <cfRule type="cellIs" dxfId="261" priority="143" stopIfTrue="1" operator="equal">
      <formula>"Threat"</formula>
    </cfRule>
    <cfRule type="cellIs" dxfId="260" priority="144" stopIfTrue="1" operator="equal">
      <formula>"Opportunity"</formula>
    </cfRule>
  </conditionalFormatting>
  <conditionalFormatting sqref="C30">
    <cfRule type="cellIs" dxfId="259" priority="137" stopIfTrue="1" operator="equal">
      <formula>"Threat"</formula>
    </cfRule>
    <cfRule type="cellIs" dxfId="258" priority="138" stopIfTrue="1" operator="equal">
      <formula>"Opportunity"</formula>
    </cfRule>
  </conditionalFormatting>
  <conditionalFormatting sqref="V26">
    <cfRule type="cellIs" dxfId="257" priority="113" operator="greaterThan">
      <formula>1</formula>
    </cfRule>
    <cfRule type="cellIs" dxfId="256" priority="114" operator="lessThan">
      <formula>0</formula>
    </cfRule>
  </conditionalFormatting>
  <conditionalFormatting sqref="C29">
    <cfRule type="cellIs" dxfId="255" priority="115" stopIfTrue="1" operator="equal">
      <formula>"Threat"</formula>
    </cfRule>
    <cfRule type="cellIs" dxfId="254" priority="116" stopIfTrue="1" operator="equal">
      <formula>"Opportunity"</formula>
    </cfRule>
  </conditionalFormatting>
  <conditionalFormatting sqref="U26">
    <cfRule type="cellIs" dxfId="253" priority="105" operator="equal">
      <formula>1</formula>
    </cfRule>
    <cfRule type="cellIs" dxfId="252" priority="106" operator="equal">
      <formula>0</formula>
    </cfRule>
  </conditionalFormatting>
  <conditionalFormatting sqref="U26">
    <cfRule type="cellIs" dxfId="251" priority="107" operator="greaterThan">
      <formula>1</formula>
    </cfRule>
    <cfRule type="cellIs" dxfId="250" priority="108" operator="lessThan">
      <formula>0</formula>
    </cfRule>
  </conditionalFormatting>
  <conditionalFormatting sqref="U35:V35">
    <cfRule type="cellIs" dxfId="249" priority="103" operator="greaterThan">
      <formula>1</formula>
    </cfRule>
    <cfRule type="cellIs" dxfId="248" priority="104" operator="lessThan">
      <formula>0</formula>
    </cfRule>
  </conditionalFormatting>
  <conditionalFormatting sqref="U35">
    <cfRule type="cellIs" dxfId="247" priority="101" operator="equal">
      <formula>1</formula>
    </cfRule>
    <cfRule type="cellIs" dxfId="246" priority="102" operator="equal">
      <formula>0</formula>
    </cfRule>
  </conditionalFormatting>
  <conditionalFormatting sqref="C35">
    <cfRule type="cellIs" dxfId="245" priority="99" stopIfTrue="1" operator="equal">
      <formula>"Threat"</formula>
    </cfRule>
    <cfRule type="cellIs" dxfId="244" priority="100" stopIfTrue="1" operator="equal">
      <formula>"Opportunity"</formula>
    </cfRule>
  </conditionalFormatting>
  <conditionalFormatting sqref="C20">
    <cfRule type="cellIs" dxfId="243" priority="89" stopIfTrue="1" operator="equal">
      <formula>"Threat"</formula>
    </cfRule>
    <cfRule type="cellIs" dxfId="242" priority="90" stopIfTrue="1" operator="equal">
      <formula>"Opportunity"</formula>
    </cfRule>
  </conditionalFormatting>
  <conditionalFormatting sqref="C45">
    <cfRule type="cellIs" dxfId="241" priority="87" stopIfTrue="1" operator="equal">
      <formula>"Threat"</formula>
    </cfRule>
    <cfRule type="cellIs" dxfId="240" priority="88" stopIfTrue="1" operator="equal">
      <formula>"Opportunity"</formula>
    </cfRule>
  </conditionalFormatting>
  <conditionalFormatting sqref="V45">
    <cfRule type="cellIs" dxfId="239" priority="85" operator="greaterThan">
      <formula>1</formula>
    </cfRule>
    <cfRule type="cellIs" dxfId="238" priority="86" operator="lessThan">
      <formula>0</formula>
    </cfRule>
  </conditionalFormatting>
  <conditionalFormatting sqref="U45">
    <cfRule type="cellIs" dxfId="237" priority="77" operator="equal">
      <formula>1</formula>
    </cfRule>
    <cfRule type="cellIs" dxfId="236" priority="78" operator="equal">
      <formula>0</formula>
    </cfRule>
  </conditionalFormatting>
  <conditionalFormatting sqref="U45">
    <cfRule type="cellIs" dxfId="235" priority="79" operator="greaterThan">
      <formula>1</formula>
    </cfRule>
    <cfRule type="cellIs" dxfId="234" priority="80" operator="lessThan">
      <formula>0</formula>
    </cfRule>
  </conditionalFormatting>
  <conditionalFormatting sqref="U43:V43">
    <cfRule type="cellIs" dxfId="233" priority="75" operator="greaterThan">
      <formula>1</formula>
    </cfRule>
    <cfRule type="cellIs" dxfId="232" priority="76" operator="lessThan">
      <formula>0</formula>
    </cfRule>
  </conditionalFormatting>
  <conditionalFormatting sqref="U43">
    <cfRule type="cellIs" dxfId="231" priority="73" operator="equal">
      <formula>1</formula>
    </cfRule>
    <cfRule type="cellIs" dxfId="230" priority="74" operator="equal">
      <formula>0</formula>
    </cfRule>
  </conditionalFormatting>
  <conditionalFormatting sqref="C85 C87">
    <cfRule type="cellIs" dxfId="229" priority="33" stopIfTrue="1" operator="equal">
      <formula>"Threat"</formula>
    </cfRule>
    <cfRule type="cellIs" dxfId="228" priority="34" stopIfTrue="1" operator="equal">
      <formula>"Opportunity"</formula>
    </cfRule>
  </conditionalFormatting>
  <conditionalFormatting sqref="C86">
    <cfRule type="cellIs" dxfId="227" priority="27" stopIfTrue="1" operator="equal">
      <formula>"Threat"</formula>
    </cfRule>
    <cfRule type="cellIs" dxfId="226" priority="28" stopIfTrue="1" operator="equal">
      <formula>"Opportunity"</formula>
    </cfRule>
  </conditionalFormatting>
  <conditionalFormatting sqref="C88">
    <cfRule type="cellIs" dxfId="225" priority="17" stopIfTrue="1" operator="equal">
      <formula>"Threat"</formula>
    </cfRule>
    <cfRule type="cellIs" dxfId="224" priority="18" stopIfTrue="1" operator="equal">
      <formula>"Opportunity"</formula>
    </cfRule>
  </conditionalFormatting>
  <conditionalFormatting sqref="C89">
    <cfRule type="cellIs" dxfId="223" priority="11" stopIfTrue="1" operator="equal">
      <formula>"Threat"</formula>
    </cfRule>
    <cfRule type="cellIs" dxfId="222" priority="12" stopIfTrue="1" operator="equal">
      <formula>"Opportunity"</formula>
    </cfRule>
  </conditionalFormatting>
  <dataValidations count="2">
    <dataValidation type="list" allowBlank="1" showInputMessage="1" showErrorMessage="1" sqref="H44:L44 H28:L33 H35:L42 H6:L7 H9:L25 H46:L63 H65:L68 H70:L89">
      <formula1>"VH,H,M,L,VL,N"</formula1>
    </dataValidation>
    <dataValidation type="list" allowBlank="1" showInputMessage="1" showErrorMessage="1" sqref="C6:C7 C9:C33 C35:C63 C65:C68 C70:C89">
      <formula1>"Threat,Opportunity"</formula1>
    </dataValidation>
  </dataValidations>
  <hyperlinks>
    <hyperlink ref="B6" r:id="rId1" display="http://mu2e-docdb.fnal.gov:8080/cgi-bin/ShowDocument?docid=3328"/>
    <hyperlink ref="B7" r:id="rId2" display="http://mu2e-docdb.fnal.gov:8080/cgi-bin/ShowDocument?docid=3331"/>
    <hyperlink ref="B10" r:id="rId3" display="http://mu2e-docdb.fnal.gov:8080/cgi-bin/ShowDocument?docid=3833"/>
    <hyperlink ref="B16" r:id="rId4" display="http://mu2e-docdb.fnal.gov:8080/cgi-bin/ShowDocument?docid=3347"/>
    <hyperlink ref="B17" r:id="rId5" display="http://mu2e-docdb.fnal.gov:8080/cgi-bin/ShowDocument?docid=3834"/>
    <hyperlink ref="B27" r:id="rId6" display="http://mu2e-docdb.fnal.gov:8080/cgi-bin/ShowDocument?docid=3350"/>
    <hyperlink ref="B19" r:id="rId7" display="http://mu2e-docdb.fnal.gov:8080/cgi-bin/ShowDocument?docid=3360"/>
    <hyperlink ref="B20" r:id="rId8" display="http://mu2e-docdb.fnal.gov:8080/cgi-bin/ShowDocument?docid=3835"/>
    <hyperlink ref="B21" r:id="rId9" display="http://mu2e-docdb.fnal.gov:8080/cgi-bin/ShowDocument?docid=3836"/>
    <hyperlink ref="B23" r:id="rId10" display="http://mu2e-docdb.fnal.gov:8080/cgi-bin/ShowDocument?docid=3363"/>
    <hyperlink ref="B25" r:id="rId11" display="http://mu2e-docdb.fnal.gov:8080/cgi-bin/ShowDocument?docid=3365"/>
    <hyperlink ref="B26" r:id="rId12" display="http://mu2e-docdb.fnal.gov:8080/cgi-bin/ShowDocument?docid=3366"/>
    <hyperlink ref="B28" r:id="rId13" display="http://mu2e-docdb.fnal.gov:8080/cgi-bin/ShowDocument?docid=3757"/>
    <hyperlink ref="B29" r:id="rId14" display="http://mu2e-docdb.fnal.gov:8080/cgi-bin/ShowDocument?docid=3844"/>
    <hyperlink ref="B30" r:id="rId15" display="http://mu2e-docdb.fnal.gov:8080/cgi-bin/ShowDocument?docid=3845"/>
    <hyperlink ref="B31" r:id="rId16" display="http://mu2e-docdb.fnal.gov:8080/cgi-bin/ShowDocument?docid=3368"/>
    <hyperlink ref="B32" r:id="rId17" display="http://mu2e-docdb.fnal.gov:8080/cgi-bin/ShowDocument?docid=3373"/>
    <hyperlink ref="B33" r:id="rId18" display="http://mu2e-docdb.fnal.gov:8080/cgi-bin/ShowDocument?docid=3837"/>
    <hyperlink ref="B74" r:id="rId19" display="http://mu2e-docdb.fnal.gov:8080/cgi-bin/ShowDocument?docid=3393"/>
    <hyperlink ref="B75" r:id="rId20" display="http://mu2e-docdb.fnal.gov:8080/cgi-bin/ShowDocument?docid=3394"/>
    <hyperlink ref="B76" r:id="rId21" display="http://mu2e-docdb.fnal.gov:8080/cgi-bin/ShowDocument?docid=3395"/>
    <hyperlink ref="B77" r:id="rId22" display="http://mu2e-docdb.fnal.gov:8080/cgi-bin/ShowDocument?docid=3396"/>
    <hyperlink ref="B78" r:id="rId23" display="http://mu2e-docdb.fnal.gov:8080/cgi-bin/ShowDocument?docid=3397"/>
    <hyperlink ref="B79" r:id="rId24" display="http://mu2e-docdb.fnal.gov:8080/cgi-bin/ShowDocument?docid=3398"/>
    <hyperlink ref="B80" r:id="rId25" display="http://mu2e-docdb.fnal.gov:8080/cgi-bin/ShowDocument?docid=3399"/>
    <hyperlink ref="B81" r:id="rId26" display="http://mu2e-docdb.fnal.gov:8080/cgi-bin/ShowDocument?docid=3400"/>
    <hyperlink ref="B82" r:id="rId27" display="http://mu2e-docdb.fnal.gov:8080/cgi-bin/ShowDocument?docid=3402"/>
    <hyperlink ref="B84" r:id="rId28" display="http://mu2e-docdb.fnal.gov:8080/cgi-bin/ShowDocument?docid=4257"/>
    <hyperlink ref="B85" r:id="rId29" display="http://mu2e-docdb.fnal.gov:8080/cgi-bin/ShowDocument?docid=4260"/>
    <hyperlink ref="B86" r:id="rId30" display="http://mu2e-docdb.fnal.gov:8080/cgi-bin/ShowDocument?docid=4262"/>
    <hyperlink ref="B87" r:id="rId31" display="http://mu2e-docdb.fnal.gov:8080/cgi-bin/ShowDocument?docid=4259"/>
    <hyperlink ref="B88" r:id="rId32" display="http://mu2e-docdb.fnal.gov:8080/cgi-bin/ShowDocument?docid=4263"/>
    <hyperlink ref="B89" r:id="rId33" display="http://mu2e-docdb.fnal.gov:8080/cgi-bin/ShowDocument?docid=4258"/>
    <hyperlink ref="B83" r:id="rId34" display="http://mu2e-docdb.fnal.gov:8080/cgi-bin/ShowDocument?docid=4199"/>
    <hyperlink ref="B65" r:id="rId35" display="http://mu2e-docdb.fnal.gov:8080/cgi-bin/ShowDocument?docid=3382"/>
    <hyperlink ref="B66" r:id="rId36" display="http://mu2e-docdb.fnal.gov:8080/cgi-bin/ShowDocument?docid=3383"/>
    <hyperlink ref="B68" r:id="rId37" display="http://mu2e-docdb.fnal.gov:8080/cgi-bin/ShowDocument?docid=3390"/>
    <hyperlink ref="B67" r:id="rId38" display="http://mu2e-docdb.fnal.gov:8080/cgi-bin/ShowDocument?docid=3385"/>
    <hyperlink ref="B73" r:id="rId39" display="http://mu2e-docdb.fnal.gov:8080/cgi-bin/ShowDocument?docid=4444"/>
    <hyperlink ref="B24" r:id="rId40" display="http://mu2e-docdb.fnal.gov:8080/cgi-bin/ShowDocument?docid=3364"/>
    <hyperlink ref="B71" r:id="rId41" display="http://mu2e-docdb.fnal.gov:8080/cgi-bin/ShowDocument?docid=4446"/>
    <hyperlink ref="B72" r:id="rId42" display="http://mu2e-docdb.fnal.gov:8080/cgi-bin/ShowDocument?docid=4447"/>
    <hyperlink ref="B18" r:id="rId43" display="http://mu2e-docdb.fnal.gov:8080/cgi-bin/ShowDocument?docid=4468"/>
    <hyperlink ref="B70" r:id="rId44" display="http://mu2e-docdb.fnal.gov:8080/cgi-bin/ShowDocument?docid=4445"/>
    <hyperlink ref="B35" r:id="rId45" display="http://mu2e-docdb.fnal.gov:8080/cgi-bin/ShowDocument?docid=4556"/>
    <hyperlink ref="B36" r:id="rId46" display="http://mu2e-docdb.fnal.gov:8080/cgi-bin/ShowDocument?docid=4557"/>
    <hyperlink ref="B37" r:id="rId47" display="http://mu2e-docdb.fnal.gov:8080/cgi-bin/ShowDocument?docid=4558"/>
    <hyperlink ref="B38" r:id="rId48" display="http://mu2e-docdb.fnal.gov:8080/cgi-bin/ShowDocument?docid=4559"/>
    <hyperlink ref="B39" r:id="rId49" display="http://mu2e-docdb.fnal.gov:8080/cgi-bin/ShowDocument?docid=4560"/>
    <hyperlink ref="B40" r:id="rId50" display="http://mu2e-docdb.fnal.gov:8080/cgi-bin/ShowDocument?docid=4561"/>
    <hyperlink ref="B41" r:id="rId51" display="http://mu2e-docdb.fnal.gov:8080/cgi-bin/ShowDocument?docid=4562"/>
    <hyperlink ref="B42" r:id="rId52" display="http://mu2e-docdb.fnal.gov:8080/cgi-bin/ShowDocument?docid=4563"/>
    <hyperlink ref="B43" r:id="rId53" display="http://mu2e-docdb.fnal.gov:8080/cgi-bin/ShowDocument?docid=4564"/>
    <hyperlink ref="B44" r:id="rId54" display="http://mu2e-docdb.fnal.gov:8080/cgi-bin/ShowDocument?docid=4565"/>
    <hyperlink ref="B45" r:id="rId55" display="http://mu2e-docdb.fnal.gov:8080/cgi-bin/ShowDocument?docid=4566"/>
    <hyperlink ref="B46" r:id="rId56" display="http://mu2e-docdb.fnal.gov:8080/cgi-bin/ShowDocument?docid=4567"/>
    <hyperlink ref="B47" r:id="rId57" display="http://mu2e-docdb.fnal.gov:8080/cgi-bin/ShowDocument?docid=4568"/>
    <hyperlink ref="B48" r:id="rId58" display="http://mu2e-docdb.fnal.gov:8080/cgi-bin/ShowDocument?docid=4569"/>
    <hyperlink ref="B49" r:id="rId59" display="http://mu2e-docdb.fnal.gov:8080/cgi-bin/ShowDocument?docid=4570"/>
    <hyperlink ref="B50" r:id="rId60" display="http://mu2e-docdb.fnal.gov:8080/cgi-bin/ShowDocument?docid=4571"/>
    <hyperlink ref="B51" r:id="rId61" display="http://mu2e-docdb.fnal.gov:8080/cgi-bin/ShowDocument?docid=4572"/>
    <hyperlink ref="B52" r:id="rId62" display="http://mu2e-docdb.fnal.gov:8080/cgi-bin/ShowDocument?docid=4573"/>
    <hyperlink ref="B53" r:id="rId63" display="http://mu2e-docdb.fnal.gov:8080/cgi-bin/ShowDocument?docid=4574"/>
    <hyperlink ref="B54" r:id="rId64" display="http://mu2e-docdb.fnal.gov:8080/cgi-bin/ShowDocument?docid=4575"/>
    <hyperlink ref="B55" r:id="rId65" display="http://mu2e-docdb.fnal.gov:8080/cgi-bin/ShowDocument?docid=4576"/>
    <hyperlink ref="B56" r:id="rId66" display="http://mu2e-docdb.fnal.gov:8080/cgi-bin/ShowDocument?docid=4577"/>
    <hyperlink ref="B57" r:id="rId67" display="http://mu2e-docdb.fnal.gov:8080/cgi-bin/ShowDocument?docid=4578"/>
    <hyperlink ref="B58" r:id="rId68" display="http://mu2e-docdb.fnal.gov:8080/cgi-bin/ShowDocument?docid=4579"/>
    <hyperlink ref="B59" r:id="rId69" display="http://mu2e-docdb.fnal.gov:8080/cgi-bin/ShowDocument?docid=4580"/>
    <hyperlink ref="B60" r:id="rId70" display="http://mu2e-docdb.fnal.gov:8080/cgi-bin/ShowDocument?docid=4581"/>
    <hyperlink ref="B61" r:id="rId71" display="http://mu2e-docdb.fnal.gov:8080/cgi-bin/ShowDocument?docid=4582"/>
    <hyperlink ref="B62" r:id="rId72" display="http://mu2e-docdb.fnal.gov:8080/cgi-bin/ShowDocument?docid=4583"/>
    <hyperlink ref="B63" r:id="rId73" display="http://mu2e-docdb.fnal.gov:8080/cgi-bin/ShowDocument?docid=4584"/>
    <hyperlink ref="B11" r:id="rId74" display="http://mu2e-docdb.fnal.gov:8080/cgi-bin/ShowDocument?docid=4589"/>
    <hyperlink ref="B12" r:id="rId75" display="http://mu2e-docdb.fnal.gov:8080/cgi-bin/ShowDocument?docid=4590"/>
    <hyperlink ref="B13" r:id="rId76" display="http://mu2e-docdb.fnal.gov:8080/cgi-bin/ShowDocument?docid=4591"/>
    <hyperlink ref="B14" r:id="rId77" display="http://mu2e-docdb.fnal.gov:8080/cgi-bin/ShowDocument?docid=4592"/>
    <hyperlink ref="B15" r:id="rId78" display="http://mu2e-docdb.fnal.gov:8080/cgi-bin/ShowDocument?docid=4593"/>
    <hyperlink ref="B22" r:id="rId79" display="6045"/>
  </hyperlinks>
  <pageMargins left="0.75" right="0.75" top="1" bottom="1" header="0.5" footer="0.5"/>
  <pageSetup scale="28" orientation="portrait" horizontalDpi="4294967292" verticalDpi="4294967292"/>
  <headerFooter>
    <oddFooter>&amp;C&amp;P of &amp;N</oddFooter>
  </headerFooter>
  <drawing r:id="rId80"/>
  <legacyDrawing r:id="rId8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4"/>
  <sheetViews>
    <sheetView tabSelected="1" workbookViewId="0">
      <pane ySplit="5" topLeftCell="A81" activePane="bottomLeft" state="frozen"/>
      <selection pane="bottomLeft" activeCell="AM92" sqref="AM92"/>
    </sheetView>
  </sheetViews>
  <sheetFormatPr defaultColWidth="9.140625" defaultRowHeight="15" x14ac:dyDescent="0.25"/>
  <cols>
    <col min="1" max="1" width="13.85546875" style="168" customWidth="1"/>
    <col min="2" max="3" width="12" style="168" customWidth="1"/>
    <col min="4" max="4" width="25.7109375" style="250" customWidth="1"/>
    <col min="5" max="5" width="12.140625" style="168" customWidth="1"/>
    <col min="6" max="6" width="14.85546875" style="168" hidden="1" customWidth="1"/>
    <col min="7" max="7" width="13.7109375" style="168" hidden="1" customWidth="1"/>
    <col min="8" max="8" width="0" style="168" hidden="1" customWidth="1"/>
    <col min="9" max="9" width="12.140625" style="168" hidden="1" customWidth="1"/>
    <col min="10" max="10" width="0" style="168" hidden="1" customWidth="1"/>
    <col min="11" max="11" width="9.140625" style="168" hidden="1" customWidth="1"/>
    <col min="12" max="12" width="0" style="168" hidden="1" customWidth="1"/>
    <col min="13" max="13" width="9.140625" style="168" hidden="1" customWidth="1"/>
    <col min="14" max="14" width="15" style="168" hidden="1" customWidth="1"/>
    <col min="15" max="15" width="16" style="168" hidden="1" customWidth="1"/>
    <col min="16" max="17" width="10.42578125" style="168" hidden="1" customWidth="1"/>
    <col min="18" max="19" width="13.7109375" style="168" hidden="1" customWidth="1"/>
    <col min="20" max="20" width="11.42578125" style="168" hidden="1" customWidth="1"/>
    <col min="21" max="21" width="12" style="168" hidden="1" customWidth="1"/>
    <col min="22" max="22" width="8.28515625" style="168" hidden="1" customWidth="1"/>
    <col min="23" max="23" width="15.85546875" style="168" customWidth="1"/>
    <col min="24" max="24" width="16" style="168" hidden="1" customWidth="1"/>
    <col min="25" max="25" width="11.85546875" style="168" hidden="1" customWidth="1"/>
    <col min="26" max="26" width="10.140625" style="168" hidden="1" customWidth="1"/>
    <col min="27" max="27" width="53" hidden="1" customWidth="1"/>
    <col min="28" max="28" width="7.42578125" customWidth="1"/>
    <col min="30" max="30" width="9.28515625" customWidth="1"/>
  </cols>
  <sheetData>
    <row r="1" spans="1:40" s="2" customFormat="1" ht="45.75" thickBot="1" x14ac:dyDescent="0.3">
      <c r="A1" s="163"/>
      <c r="B1" s="163"/>
      <c r="C1" s="163"/>
      <c r="D1" s="164"/>
      <c r="E1" s="163"/>
      <c r="F1" s="163"/>
      <c r="G1" s="163"/>
      <c r="H1" s="163"/>
      <c r="I1" s="163"/>
      <c r="J1" s="163"/>
      <c r="K1" s="163"/>
      <c r="L1" s="163"/>
      <c r="M1" s="163"/>
      <c r="N1" s="163"/>
      <c r="O1" s="165"/>
      <c r="P1" s="165"/>
      <c r="Q1" s="165"/>
      <c r="R1" s="165"/>
      <c r="S1" s="165"/>
      <c r="T1" s="166" t="s">
        <v>52</v>
      </c>
      <c r="U1" s="167" t="s">
        <v>49</v>
      </c>
      <c r="V1" s="167"/>
      <c r="W1" s="167"/>
      <c r="X1" s="167"/>
      <c r="Y1" s="167"/>
      <c r="Z1" s="168"/>
    </row>
    <row r="2" spans="1:40" s="2" customFormat="1" x14ac:dyDescent="0.25">
      <c r="A2" s="163"/>
      <c r="B2" s="163"/>
      <c r="C2" s="163"/>
      <c r="D2" s="164"/>
      <c r="E2" s="163"/>
      <c r="F2" s="163"/>
      <c r="G2" s="163"/>
      <c r="H2" s="163"/>
      <c r="I2" s="163"/>
      <c r="J2" s="163"/>
      <c r="K2" s="163"/>
      <c r="L2" s="163"/>
      <c r="M2" s="163"/>
      <c r="N2" s="163"/>
      <c r="O2" s="165"/>
      <c r="P2" s="165"/>
      <c r="Q2" s="165"/>
      <c r="R2" s="165"/>
      <c r="S2" s="165"/>
      <c r="T2" s="163"/>
      <c r="U2" s="163"/>
      <c r="V2" s="163"/>
      <c r="W2" s="163"/>
      <c r="X2" s="163"/>
      <c r="Y2" s="163"/>
      <c r="Z2" s="168"/>
    </row>
    <row r="3" spans="1:40" s="2" customFormat="1" ht="15.75" thickBot="1" x14ac:dyDescent="0.3">
      <c r="A3" s="169" t="s">
        <v>429</v>
      </c>
      <c r="B3" s="163"/>
      <c r="C3" s="163" t="s">
        <v>609</v>
      </c>
      <c r="D3" s="164"/>
      <c r="E3" s="163"/>
      <c r="F3" s="170"/>
      <c r="G3" s="163"/>
      <c r="H3" s="163"/>
      <c r="I3" s="163"/>
      <c r="J3" s="163"/>
      <c r="K3" s="163"/>
      <c r="L3" s="163"/>
      <c r="M3" s="163"/>
      <c r="N3" s="163"/>
      <c r="O3" s="165"/>
      <c r="P3" s="165"/>
      <c r="Q3" s="165"/>
      <c r="R3" s="165"/>
      <c r="S3" s="165"/>
      <c r="T3" s="163"/>
      <c r="U3" s="163"/>
      <c r="V3" s="163"/>
      <c r="W3" s="163"/>
      <c r="X3" s="163"/>
      <c r="Y3" s="163"/>
      <c r="Z3" s="168"/>
      <c r="AC3" s="2">
        <v>2015</v>
      </c>
      <c r="AD3" s="2">
        <v>2016</v>
      </c>
      <c r="AE3" s="2">
        <v>2017</v>
      </c>
      <c r="AF3" s="2">
        <v>2018</v>
      </c>
      <c r="AG3" s="2">
        <v>2019</v>
      </c>
      <c r="AH3" s="2">
        <v>2020</v>
      </c>
    </row>
    <row r="4" spans="1:40" s="3" customFormat="1" ht="23.25" customHeight="1" thickBot="1" x14ac:dyDescent="0.3">
      <c r="A4" s="374" t="s">
        <v>26</v>
      </c>
      <c r="B4" s="375"/>
      <c r="C4" s="376"/>
      <c r="D4" s="376"/>
      <c r="E4" s="357"/>
      <c r="F4" s="357"/>
      <c r="G4" s="357"/>
      <c r="H4" s="377" t="s">
        <v>54</v>
      </c>
      <c r="I4" s="377"/>
      <c r="J4" s="377"/>
      <c r="K4" s="377"/>
      <c r="L4" s="377"/>
      <c r="M4" s="377"/>
      <c r="N4" s="357"/>
      <c r="O4" s="172"/>
      <c r="P4" s="172"/>
      <c r="Q4" s="172"/>
      <c r="R4" s="172"/>
      <c r="S4" s="172"/>
      <c r="T4" s="372" t="s">
        <v>371</v>
      </c>
      <c r="U4" s="373"/>
      <c r="V4" s="373"/>
      <c r="W4" s="373"/>
      <c r="X4" s="373"/>
      <c r="Y4" s="373"/>
      <c r="Z4" s="168"/>
      <c r="AA4" s="26" t="s">
        <v>32</v>
      </c>
      <c r="AH4" s="359"/>
    </row>
    <row r="5" spans="1:40" s="139" customFormat="1" ht="83.1" customHeight="1" thickBot="1" x14ac:dyDescent="0.3">
      <c r="A5" s="173" t="s">
        <v>425</v>
      </c>
      <c r="B5" s="174" t="s">
        <v>426</v>
      </c>
      <c r="C5" s="175" t="s">
        <v>56</v>
      </c>
      <c r="D5" s="176" t="s">
        <v>28</v>
      </c>
      <c r="E5" s="175" t="s">
        <v>309</v>
      </c>
      <c r="F5" s="175" t="s">
        <v>427</v>
      </c>
      <c r="G5" s="175" t="s">
        <v>428</v>
      </c>
      <c r="H5" s="177" t="s">
        <v>30</v>
      </c>
      <c r="I5" s="177" t="s">
        <v>57</v>
      </c>
      <c r="J5" s="177" t="s">
        <v>31</v>
      </c>
      <c r="K5" s="177" t="s">
        <v>58</v>
      </c>
      <c r="L5" s="177" t="s">
        <v>545</v>
      </c>
      <c r="M5" s="177" t="s">
        <v>59</v>
      </c>
      <c r="N5" s="175" t="s">
        <v>29</v>
      </c>
      <c r="O5" s="178" t="s">
        <v>41</v>
      </c>
      <c r="P5" s="179" t="s">
        <v>42</v>
      </c>
      <c r="Q5" s="179" t="s">
        <v>43</v>
      </c>
      <c r="R5" s="179" t="s">
        <v>50</v>
      </c>
      <c r="S5" s="180" t="s">
        <v>51</v>
      </c>
      <c r="T5" s="370" t="s">
        <v>44</v>
      </c>
      <c r="U5" s="371"/>
      <c r="V5" s="356" t="s">
        <v>45</v>
      </c>
      <c r="W5" s="356" t="s">
        <v>522</v>
      </c>
      <c r="X5" s="356" t="s">
        <v>53</v>
      </c>
      <c r="Y5" s="356" t="s">
        <v>46</v>
      </c>
      <c r="Z5" s="168"/>
      <c r="AA5" s="138"/>
    </row>
    <row r="6" spans="1:40" s="2" customFormat="1" ht="30" x14ac:dyDescent="0.25">
      <c r="A6" s="182" t="s">
        <v>96</v>
      </c>
      <c r="B6" s="183">
        <v>3328</v>
      </c>
      <c r="C6" s="184" t="s">
        <v>61</v>
      </c>
      <c r="D6" s="185" t="s">
        <v>97</v>
      </c>
      <c r="E6" s="184" t="s">
        <v>513</v>
      </c>
      <c r="F6" s="186"/>
      <c r="G6" s="184" t="s">
        <v>374</v>
      </c>
      <c r="H6" s="187" t="s">
        <v>33</v>
      </c>
      <c r="I6" s="184" t="s">
        <v>36</v>
      </c>
      <c r="J6" s="184" t="s">
        <v>35</v>
      </c>
      <c r="K6" s="184" t="s">
        <v>35</v>
      </c>
      <c r="L6" s="184" t="s">
        <v>35</v>
      </c>
      <c r="M6" s="188" t="s">
        <v>36</v>
      </c>
      <c r="N6" s="184" t="s">
        <v>74</v>
      </c>
      <c r="O6" s="189">
        <v>75000</v>
      </c>
      <c r="P6" s="190">
        <v>60</v>
      </c>
      <c r="Q6" s="191">
        <v>0.25</v>
      </c>
      <c r="R6" s="189">
        <f>O6*Q6</f>
        <v>18750</v>
      </c>
      <c r="S6" s="192">
        <f>P6*Q6</f>
        <v>15</v>
      </c>
      <c r="T6" s="193">
        <f>IF(H6="VL",0,IF(H6="L",0.1,IF(H6="M",0.25,IF(H6="H",0.75,IF(H6="VH",0.9,1)))))</f>
        <v>0.25</v>
      </c>
      <c r="U6" s="193">
        <f>IF(H6="VL",0.1,IF(H6="L",0.25,IF(H6="M",0.75,IF(H6="H",0.9,IF(H6="VH",1,1)))))</f>
        <v>0.75</v>
      </c>
      <c r="V6" s="194">
        <f>(U6-T6)/SQRT(12)</f>
        <v>0.14433756729740646</v>
      </c>
      <c r="W6" s="195">
        <f>($O6*($Q6+$T6+$U6)/3 + $O6*($U6-$T6)/6*0.84162)/1000</f>
        <v>36.510125000000002</v>
      </c>
      <c r="X6" s="195">
        <f>($O6*($Q6+$T6+$U6)/3 + $O6*($U6-$T6)/6*1.036)/1000</f>
        <v>37.725000000000001</v>
      </c>
      <c r="Y6" s="195">
        <f>($O6*($Q6+$T6+$U6)/3 + $O6*($U6-$T6)/6*1.28)/1000</f>
        <v>39.25</v>
      </c>
      <c r="Z6" s="168"/>
      <c r="AA6" s="11"/>
      <c r="AC6" s="161">
        <v>37</v>
      </c>
      <c r="AD6" s="161"/>
      <c r="AE6" s="161"/>
      <c r="AF6" s="161"/>
      <c r="AG6" s="161"/>
      <c r="AN6" s="195">
        <f>($O6*($Q6+$T6+$U6)/3 + $O6*($U6-$T6)/6*0.84162)/1000</f>
        <v>36.510125000000002</v>
      </c>
    </row>
    <row r="7" spans="1:40" s="2" customFormat="1" ht="30" x14ac:dyDescent="0.25">
      <c r="A7" s="182" t="s">
        <v>83</v>
      </c>
      <c r="B7" s="183">
        <v>3331</v>
      </c>
      <c r="C7" s="184" t="s">
        <v>61</v>
      </c>
      <c r="D7" s="185" t="s">
        <v>84</v>
      </c>
      <c r="E7" s="187" t="s">
        <v>11</v>
      </c>
      <c r="F7" s="186"/>
      <c r="G7" s="184" t="s">
        <v>374</v>
      </c>
      <c r="H7" s="184" t="s">
        <v>36</v>
      </c>
      <c r="I7" s="184" t="s">
        <v>35</v>
      </c>
      <c r="J7" s="184" t="s">
        <v>35</v>
      </c>
      <c r="K7" s="184" t="s">
        <v>64</v>
      </c>
      <c r="L7" s="184" t="s">
        <v>35</v>
      </c>
      <c r="M7" s="196" t="s">
        <v>34</v>
      </c>
      <c r="N7" s="215" t="s">
        <v>12</v>
      </c>
      <c r="O7" s="197">
        <v>185000</v>
      </c>
      <c r="P7" s="182">
        <v>0</v>
      </c>
      <c r="Q7" s="198">
        <v>0.1</v>
      </c>
      <c r="R7" s="197">
        <f>O7*Q7</f>
        <v>18500</v>
      </c>
      <c r="S7" s="182">
        <f>P7*Q7</f>
        <v>0</v>
      </c>
      <c r="T7" s="193">
        <f>IF(H7="VL",0,IF(H7="L",0.1,IF(H7="M",0.25,IF(H7="H",0.75,IF(H7="VH",0.9,1)))))</f>
        <v>0.1</v>
      </c>
      <c r="U7" s="193">
        <f>IF(H7="VL",0.1,IF(H7="L",0.25,IF(H7="M",0.75,IF(H7="H",0.9,IF(H7="VH",1,1)))))</f>
        <v>0.25</v>
      </c>
      <c r="V7" s="194">
        <f>(U7-T7)/SQRT(12)</f>
        <v>4.3301270189221933E-2</v>
      </c>
      <c r="W7" s="195">
        <f>($O7*($Q7+$T7+$U7)/3 + $O7*($U7-$T7)/6*0.84162)/1000</f>
        <v>31.642492499999999</v>
      </c>
      <c r="X7" s="195">
        <f>($O7*($Q7+$T7+$U7)/3 + $O7*($U7-$T7)/6*1.036)/1000</f>
        <v>32.541499999999999</v>
      </c>
      <c r="Y7" s="195">
        <f>($O7*($Q7+$T7+$U7)/3 + $O7*($U7-$T7)/6*1.28)/1000</f>
        <v>33.67</v>
      </c>
      <c r="Z7" s="168"/>
      <c r="AA7" s="11"/>
      <c r="AE7" s="161">
        <v>32</v>
      </c>
      <c r="AF7" s="161"/>
      <c r="AG7" s="161"/>
      <c r="AN7" s="195">
        <f>($O7*($Q7+$T7+$U7)/3 + $O7*($U7-$T7)/6*0.84162)/1000</f>
        <v>31.642492499999999</v>
      </c>
    </row>
    <row r="8" spans="1:40" x14ac:dyDescent="0.25">
      <c r="A8" s="182" t="s">
        <v>90</v>
      </c>
      <c r="E8" s="168" t="s">
        <v>617</v>
      </c>
      <c r="AC8">
        <v>-108</v>
      </c>
      <c r="AN8" s="168"/>
    </row>
    <row r="9" spans="1:40" s="2" customFormat="1" ht="30" x14ac:dyDescent="0.25">
      <c r="A9" s="182" t="s">
        <v>165</v>
      </c>
      <c r="B9" s="183">
        <v>3344</v>
      </c>
      <c r="C9" s="184" t="s">
        <v>61</v>
      </c>
      <c r="D9" s="185" t="s">
        <v>166</v>
      </c>
      <c r="E9" s="187" t="s">
        <v>510</v>
      </c>
      <c r="F9" s="201">
        <v>100000</v>
      </c>
      <c r="G9" s="184" t="s">
        <v>374</v>
      </c>
      <c r="H9" s="184" t="s">
        <v>36</v>
      </c>
      <c r="I9" s="184" t="s">
        <v>35</v>
      </c>
      <c r="J9" s="184" t="s">
        <v>33</v>
      </c>
      <c r="K9" s="184" t="s">
        <v>35</v>
      </c>
      <c r="L9" s="184" t="s">
        <v>35</v>
      </c>
      <c r="M9" s="202" t="s">
        <v>33</v>
      </c>
      <c r="N9" s="184" t="s">
        <v>167</v>
      </c>
      <c r="O9" s="197">
        <v>175000</v>
      </c>
      <c r="P9" s="182"/>
      <c r="Q9" s="198">
        <v>0.1</v>
      </c>
      <c r="R9" s="197">
        <f t="shared" ref="R9:R16" si="0">O9*Q9</f>
        <v>17500</v>
      </c>
      <c r="S9" s="182">
        <f t="shared" ref="S9:S16" si="1">P9*Q9</f>
        <v>0</v>
      </c>
      <c r="T9" s="193">
        <f t="shared" ref="T9:T33" si="2">IF(H9="VL",0,IF(H9="L",0.1,IF(H9="M",0.25,IF(H9="H",0.75,IF(H9="VH",0.9,1)))))</f>
        <v>0.1</v>
      </c>
      <c r="U9" s="193">
        <f t="shared" ref="U9:U33" si="3">IF(H9="VL",0.1,IF(H9="L",0.25,IF(H9="M",0.75,IF(H9="H",0.9,IF(H9="VH",1,1)))))</f>
        <v>0.25</v>
      </c>
      <c r="V9" s="194">
        <f t="shared" ref="V9:V16" si="4">(U9-T9)/SQRT(12)</f>
        <v>4.3301270189221933E-2</v>
      </c>
      <c r="W9" s="195">
        <f t="shared" ref="W9:W33" si="5">($O9*($Q9+$T9+$U9)/3 + $O9*($U9-$T9)/6*0.84162)/1000</f>
        <v>29.932087500000002</v>
      </c>
      <c r="X9" s="195">
        <f t="shared" ref="X9:X33" si="6">($O9*($Q9+$T9+$U9)/3 + $O9*($U9-$T9)/6*1.036)/1000</f>
        <v>30.782499999999999</v>
      </c>
      <c r="Y9" s="195">
        <f t="shared" ref="Y9:Y33" si="7">($O9*($Q9+$T9+$U9)/3 + $O9*($U9-$T9)/6*1.28)/1000</f>
        <v>31.85</v>
      </c>
      <c r="Z9" s="168"/>
      <c r="AA9" s="11"/>
      <c r="AD9" s="161">
        <v>30</v>
      </c>
      <c r="AE9" s="161"/>
      <c r="AF9" s="161"/>
      <c r="AG9" s="161"/>
      <c r="AH9" s="161"/>
      <c r="AN9" s="195">
        <f t="shared" ref="AN9:AN33" si="8">($O9*($Q9+$T9+$U9)/3 + $O9*($U9-$T9)/6*0.84162)/1000</f>
        <v>29.932087500000002</v>
      </c>
    </row>
    <row r="10" spans="1:40" s="2" customFormat="1" ht="45" x14ac:dyDescent="0.25">
      <c r="A10" s="182" t="s">
        <v>356</v>
      </c>
      <c r="B10" s="183">
        <v>3833</v>
      </c>
      <c r="C10" s="184" t="s">
        <v>61</v>
      </c>
      <c r="D10" s="185" t="s">
        <v>357</v>
      </c>
      <c r="E10" s="187" t="s">
        <v>362</v>
      </c>
      <c r="F10" s="201">
        <v>100000</v>
      </c>
      <c r="G10" s="184" t="s">
        <v>374</v>
      </c>
      <c r="H10" s="184" t="s">
        <v>155</v>
      </c>
      <c r="I10" s="184" t="s">
        <v>35</v>
      </c>
      <c r="J10" s="184" t="s">
        <v>64</v>
      </c>
      <c r="K10" s="184" t="s">
        <v>33</v>
      </c>
      <c r="L10" s="184" t="s">
        <v>35</v>
      </c>
      <c r="M10" s="196" t="s">
        <v>34</v>
      </c>
      <c r="N10" s="184" t="s">
        <v>358</v>
      </c>
      <c r="O10" s="197">
        <v>3300000</v>
      </c>
      <c r="P10" s="182"/>
      <c r="Q10" s="198">
        <v>0.05</v>
      </c>
      <c r="R10" s="197">
        <f t="shared" si="0"/>
        <v>165000</v>
      </c>
      <c r="S10" s="182">
        <f t="shared" si="1"/>
        <v>0</v>
      </c>
      <c r="T10" s="203">
        <f t="shared" si="2"/>
        <v>0</v>
      </c>
      <c r="U10" s="193">
        <f t="shared" si="3"/>
        <v>0.1</v>
      </c>
      <c r="V10" s="194">
        <f t="shared" si="4"/>
        <v>2.8867513459481291E-2</v>
      </c>
      <c r="W10" s="195">
        <f t="shared" si="5"/>
        <v>211.28910000000005</v>
      </c>
      <c r="X10" s="195">
        <f t="shared" si="6"/>
        <v>221.98000000000002</v>
      </c>
      <c r="Y10" s="195">
        <f t="shared" si="7"/>
        <v>235.40000000000003</v>
      </c>
      <c r="Z10" s="168"/>
      <c r="AA10" s="11"/>
      <c r="AD10" s="161">
        <v>211</v>
      </c>
      <c r="AE10" s="161"/>
      <c r="AF10" s="161"/>
      <c r="AN10" s="195">
        <f t="shared" si="8"/>
        <v>211.28910000000005</v>
      </c>
    </row>
    <row r="11" spans="1:40" s="2" customFormat="1" ht="45.95" customHeight="1" x14ac:dyDescent="0.25">
      <c r="A11" s="182" t="s">
        <v>393</v>
      </c>
      <c r="B11" s="183">
        <v>4589</v>
      </c>
      <c r="C11" s="184" t="s">
        <v>61</v>
      </c>
      <c r="D11" s="185" t="s">
        <v>389</v>
      </c>
      <c r="E11" s="187" t="s">
        <v>381</v>
      </c>
      <c r="F11" s="201">
        <v>20000</v>
      </c>
      <c r="G11" s="184" t="s">
        <v>374</v>
      </c>
      <c r="H11" s="184" t="s">
        <v>33</v>
      </c>
      <c r="I11" s="184" t="s">
        <v>155</v>
      </c>
      <c r="J11" s="184" t="s">
        <v>34</v>
      </c>
      <c r="K11" s="184" t="s">
        <v>155</v>
      </c>
      <c r="L11" s="184" t="s">
        <v>35</v>
      </c>
      <c r="M11" s="196" t="s">
        <v>34</v>
      </c>
      <c r="N11" s="184" t="s">
        <v>390</v>
      </c>
      <c r="O11" s="197">
        <v>400000</v>
      </c>
      <c r="P11" s="187">
        <v>20</v>
      </c>
      <c r="Q11" s="205">
        <v>0.6</v>
      </c>
      <c r="R11" s="197">
        <f t="shared" si="0"/>
        <v>240000</v>
      </c>
      <c r="S11" s="182">
        <f t="shared" si="1"/>
        <v>12</v>
      </c>
      <c r="T11" s="193">
        <f t="shared" si="2"/>
        <v>0.25</v>
      </c>
      <c r="U11" s="193">
        <f t="shared" si="3"/>
        <v>0.75</v>
      </c>
      <c r="V11" s="194">
        <f t="shared" si="4"/>
        <v>0.14433756729740646</v>
      </c>
      <c r="W11" s="195">
        <f t="shared" si="5"/>
        <v>241.38733333333334</v>
      </c>
      <c r="X11" s="195">
        <f t="shared" si="6"/>
        <v>247.86666666666667</v>
      </c>
      <c r="Y11" s="195">
        <f t="shared" si="7"/>
        <v>256</v>
      </c>
      <c r="Z11" s="168"/>
      <c r="AA11" s="11"/>
      <c r="AC11" s="161">
        <v>241</v>
      </c>
      <c r="AD11" s="161"/>
      <c r="AN11" s="195">
        <f t="shared" si="8"/>
        <v>241.38733333333334</v>
      </c>
    </row>
    <row r="12" spans="1:40" s="2" customFormat="1" ht="45" x14ac:dyDescent="0.25">
      <c r="A12" s="182" t="s">
        <v>394</v>
      </c>
      <c r="B12" s="183">
        <v>4590</v>
      </c>
      <c r="C12" s="184" t="s">
        <v>61</v>
      </c>
      <c r="D12" s="185" t="s">
        <v>391</v>
      </c>
      <c r="E12" s="187" t="s">
        <v>381</v>
      </c>
      <c r="F12" s="201">
        <v>20000</v>
      </c>
      <c r="G12" s="184" t="s">
        <v>374</v>
      </c>
      <c r="H12" s="184" t="s">
        <v>36</v>
      </c>
      <c r="I12" s="184" t="s">
        <v>155</v>
      </c>
      <c r="J12" s="184" t="s">
        <v>33</v>
      </c>
      <c r="K12" s="184" t="s">
        <v>155</v>
      </c>
      <c r="L12" s="184" t="s">
        <v>35</v>
      </c>
      <c r="M12" s="206" t="s">
        <v>33</v>
      </c>
      <c r="N12" s="184" t="s">
        <v>390</v>
      </c>
      <c r="O12" s="197">
        <v>200000</v>
      </c>
      <c r="P12" s="187">
        <v>20</v>
      </c>
      <c r="Q12" s="191">
        <v>0.2</v>
      </c>
      <c r="R12" s="197">
        <f t="shared" si="0"/>
        <v>40000</v>
      </c>
      <c r="S12" s="182">
        <f t="shared" si="1"/>
        <v>4</v>
      </c>
      <c r="T12" s="193">
        <f t="shared" si="2"/>
        <v>0.1</v>
      </c>
      <c r="U12" s="193">
        <f t="shared" si="3"/>
        <v>0.25</v>
      </c>
      <c r="V12" s="194">
        <f t="shared" si="4"/>
        <v>4.3301270189221933E-2</v>
      </c>
      <c r="W12" s="195">
        <f t="shared" si="5"/>
        <v>40.874766666666673</v>
      </c>
      <c r="X12" s="195">
        <f t="shared" si="6"/>
        <v>41.846666666666671</v>
      </c>
      <c r="Y12" s="195">
        <f t="shared" si="7"/>
        <v>43.06666666666667</v>
      </c>
      <c r="Z12" s="168"/>
      <c r="AA12" s="11"/>
      <c r="AC12" s="161">
        <v>41</v>
      </c>
      <c r="AD12" s="161"/>
      <c r="AN12" s="195">
        <f t="shared" si="8"/>
        <v>40.874766666666673</v>
      </c>
    </row>
    <row r="13" spans="1:40" s="2" customFormat="1" ht="45" x14ac:dyDescent="0.25">
      <c r="A13" s="182" t="s">
        <v>395</v>
      </c>
      <c r="B13" s="183">
        <v>4591</v>
      </c>
      <c r="C13" s="184" t="s">
        <v>121</v>
      </c>
      <c r="D13" s="185" t="s">
        <v>392</v>
      </c>
      <c r="E13" s="187" t="s">
        <v>381</v>
      </c>
      <c r="F13" s="201">
        <v>5000</v>
      </c>
      <c r="G13" s="184" t="s">
        <v>374</v>
      </c>
      <c r="H13" s="184" t="s">
        <v>33</v>
      </c>
      <c r="I13" s="184" t="s">
        <v>155</v>
      </c>
      <c r="J13" s="184" t="s">
        <v>33</v>
      </c>
      <c r="K13" s="184" t="s">
        <v>155</v>
      </c>
      <c r="L13" s="184" t="s">
        <v>35</v>
      </c>
      <c r="M13" s="206" t="s">
        <v>33</v>
      </c>
      <c r="N13" s="184" t="s">
        <v>390</v>
      </c>
      <c r="O13" s="197">
        <v>-110000</v>
      </c>
      <c r="P13" s="187">
        <v>20</v>
      </c>
      <c r="Q13" s="205">
        <v>0.5</v>
      </c>
      <c r="R13" s="197">
        <f t="shared" si="0"/>
        <v>-55000</v>
      </c>
      <c r="S13" s="182">
        <f t="shared" si="1"/>
        <v>10</v>
      </c>
      <c r="T13" s="193">
        <f t="shared" si="2"/>
        <v>0.25</v>
      </c>
      <c r="U13" s="193">
        <f t="shared" si="3"/>
        <v>0.75</v>
      </c>
      <c r="V13" s="194">
        <f t="shared" si="4"/>
        <v>0.14433756729740646</v>
      </c>
      <c r="W13" s="195">
        <f t="shared" si="5"/>
        <v>-62.714849999999998</v>
      </c>
      <c r="X13" s="195">
        <f t="shared" si="6"/>
        <v>-64.49666666666667</v>
      </c>
      <c r="Y13" s="195">
        <f t="shared" si="7"/>
        <v>-66.733333333333334</v>
      </c>
      <c r="Z13" s="168"/>
      <c r="AA13" s="11"/>
      <c r="AC13" s="161">
        <v>-63</v>
      </c>
      <c r="AD13" s="161"/>
      <c r="AN13" s="195">
        <f t="shared" si="8"/>
        <v>-62.714849999999998</v>
      </c>
    </row>
    <row r="14" spans="1:40" s="2" customFormat="1" ht="45" x14ac:dyDescent="0.25">
      <c r="A14" s="182" t="s">
        <v>520</v>
      </c>
      <c r="B14" s="183">
        <v>4592</v>
      </c>
      <c r="C14" s="184" t="s">
        <v>121</v>
      </c>
      <c r="D14" s="207" t="s">
        <v>516</v>
      </c>
      <c r="E14" s="187" t="s">
        <v>368</v>
      </c>
      <c r="F14" s="204"/>
      <c r="G14" s="184" t="s">
        <v>374</v>
      </c>
      <c r="H14" s="184" t="s">
        <v>36</v>
      </c>
      <c r="I14" s="184" t="s">
        <v>35</v>
      </c>
      <c r="J14" s="184" t="s">
        <v>33</v>
      </c>
      <c r="K14" s="184" t="s">
        <v>35</v>
      </c>
      <c r="L14" s="184" t="s">
        <v>35</v>
      </c>
      <c r="M14" s="206" t="s">
        <v>33</v>
      </c>
      <c r="N14" s="208" t="s">
        <v>517</v>
      </c>
      <c r="O14" s="197">
        <v>-166000</v>
      </c>
      <c r="P14" s="187"/>
      <c r="Q14" s="205">
        <v>0.15</v>
      </c>
      <c r="R14" s="197">
        <f t="shared" si="0"/>
        <v>-24900</v>
      </c>
      <c r="S14" s="182">
        <f t="shared" si="1"/>
        <v>0</v>
      </c>
      <c r="T14" s="193">
        <f t="shared" si="2"/>
        <v>0.1</v>
      </c>
      <c r="U14" s="193">
        <f t="shared" si="3"/>
        <v>0.25</v>
      </c>
      <c r="V14" s="194">
        <f t="shared" si="4"/>
        <v>4.3301270189221933E-2</v>
      </c>
      <c r="W14" s="195">
        <f t="shared" si="5"/>
        <v>-31.159389666666669</v>
      </c>
      <c r="X14" s="195">
        <f t="shared" si="6"/>
        <v>-31.96606666666667</v>
      </c>
      <c r="Y14" s="195">
        <f t="shared" si="7"/>
        <v>-32.978666666666669</v>
      </c>
      <c r="Z14" s="168"/>
      <c r="AA14" s="11"/>
      <c r="AC14" s="161">
        <v>-31</v>
      </c>
      <c r="AD14" s="161"/>
      <c r="AE14" s="161"/>
      <c r="AN14" s="195">
        <f t="shared" si="8"/>
        <v>-31.159389666666669</v>
      </c>
    </row>
    <row r="15" spans="1:40" s="2" customFormat="1" ht="45" x14ac:dyDescent="0.25">
      <c r="A15" s="182" t="s">
        <v>521</v>
      </c>
      <c r="B15" s="183">
        <v>4593</v>
      </c>
      <c r="C15" s="184" t="s">
        <v>61</v>
      </c>
      <c r="D15" s="185" t="s">
        <v>518</v>
      </c>
      <c r="E15" s="187" t="s">
        <v>381</v>
      </c>
      <c r="F15" s="204"/>
      <c r="G15" s="184" t="s">
        <v>374</v>
      </c>
      <c r="H15" s="184" t="s">
        <v>36</v>
      </c>
      <c r="I15" s="184" t="s">
        <v>35</v>
      </c>
      <c r="J15" s="184" t="s">
        <v>33</v>
      </c>
      <c r="K15" s="184" t="s">
        <v>35</v>
      </c>
      <c r="L15" s="184" t="s">
        <v>35</v>
      </c>
      <c r="M15" s="206" t="s">
        <v>33</v>
      </c>
      <c r="N15" s="184" t="s">
        <v>519</v>
      </c>
      <c r="O15" s="197">
        <v>160000</v>
      </c>
      <c r="P15" s="187"/>
      <c r="Q15" s="205">
        <v>0.1</v>
      </c>
      <c r="R15" s="197">
        <f t="shared" si="0"/>
        <v>16000</v>
      </c>
      <c r="S15" s="182">
        <f t="shared" si="1"/>
        <v>0</v>
      </c>
      <c r="T15" s="193">
        <f t="shared" si="2"/>
        <v>0.1</v>
      </c>
      <c r="U15" s="193">
        <f t="shared" si="3"/>
        <v>0.25</v>
      </c>
      <c r="V15" s="194">
        <f t="shared" si="4"/>
        <v>4.3301270189221933E-2</v>
      </c>
      <c r="W15" s="195">
        <f t="shared" si="5"/>
        <v>27.366479999999999</v>
      </c>
      <c r="X15" s="195">
        <f t="shared" si="6"/>
        <v>28.143999999999998</v>
      </c>
      <c r="Y15" s="195">
        <f t="shared" si="7"/>
        <v>29.12</v>
      </c>
      <c r="Z15" s="209">
        <f>SUM(W6:W15)</f>
        <v>525.12814533333346</v>
      </c>
      <c r="AA15" s="11"/>
      <c r="AC15" s="161">
        <v>27</v>
      </c>
      <c r="AD15" s="161"/>
      <c r="AN15" s="195">
        <f t="shared" si="8"/>
        <v>27.366479999999999</v>
      </c>
    </row>
    <row r="16" spans="1:40" s="2" customFormat="1" ht="30" x14ac:dyDescent="0.25">
      <c r="A16" s="182" t="s">
        <v>117</v>
      </c>
      <c r="B16" s="183">
        <v>3347</v>
      </c>
      <c r="C16" s="184" t="s">
        <v>61</v>
      </c>
      <c r="D16" s="185" t="s">
        <v>300</v>
      </c>
      <c r="E16" s="187" t="s">
        <v>510</v>
      </c>
      <c r="F16" s="201"/>
      <c r="G16" s="184" t="s">
        <v>374</v>
      </c>
      <c r="H16" s="184" t="s">
        <v>36</v>
      </c>
      <c r="I16" s="184" t="s">
        <v>35</v>
      </c>
      <c r="J16" s="184" t="s">
        <v>35</v>
      </c>
      <c r="K16" s="184" t="s">
        <v>34</v>
      </c>
      <c r="L16" s="184" t="s">
        <v>35</v>
      </c>
      <c r="M16" s="196" t="s">
        <v>34</v>
      </c>
      <c r="N16" s="184" t="s">
        <v>301</v>
      </c>
      <c r="O16" s="197">
        <v>0</v>
      </c>
      <c r="P16" s="182"/>
      <c r="Q16" s="200">
        <v>0.1</v>
      </c>
      <c r="R16" s="197">
        <f t="shared" si="0"/>
        <v>0</v>
      </c>
      <c r="S16" s="182">
        <f t="shared" si="1"/>
        <v>0</v>
      </c>
      <c r="T16" s="193">
        <f t="shared" si="2"/>
        <v>0.1</v>
      </c>
      <c r="U16" s="193">
        <f t="shared" si="3"/>
        <v>0.25</v>
      </c>
      <c r="V16" s="194">
        <f t="shared" si="4"/>
        <v>4.3301270189221933E-2</v>
      </c>
      <c r="W16" s="195">
        <f t="shared" si="5"/>
        <v>0</v>
      </c>
      <c r="X16" s="195">
        <f t="shared" si="6"/>
        <v>0</v>
      </c>
      <c r="Y16" s="195">
        <f t="shared" si="7"/>
        <v>0</v>
      </c>
      <c r="Z16" s="168"/>
      <c r="AA16" s="11"/>
      <c r="AD16" s="161"/>
      <c r="AE16" s="161"/>
      <c r="AF16" s="161"/>
      <c r="AG16" s="161"/>
      <c r="AH16" s="161"/>
      <c r="AN16" s="195">
        <f t="shared" si="8"/>
        <v>0</v>
      </c>
    </row>
    <row r="17" spans="1:40" s="2" customFormat="1" ht="60" x14ac:dyDescent="0.25">
      <c r="A17" s="182" t="s">
        <v>329</v>
      </c>
      <c r="B17" s="183">
        <v>3834</v>
      </c>
      <c r="C17" s="184" t="s">
        <v>61</v>
      </c>
      <c r="D17" s="210" t="s">
        <v>330</v>
      </c>
      <c r="E17" s="187" t="s">
        <v>350</v>
      </c>
      <c r="F17" s="201">
        <v>100000</v>
      </c>
      <c r="G17" s="184" t="s">
        <v>374</v>
      </c>
      <c r="H17" s="184" t="s">
        <v>33</v>
      </c>
      <c r="I17" s="184" t="s">
        <v>33</v>
      </c>
      <c r="J17" s="184" t="s">
        <v>35</v>
      </c>
      <c r="K17" s="184" t="s">
        <v>34</v>
      </c>
      <c r="L17" s="184" t="s">
        <v>35</v>
      </c>
      <c r="M17" s="196" t="s">
        <v>34</v>
      </c>
      <c r="N17" s="184" t="s">
        <v>331</v>
      </c>
      <c r="O17" s="211">
        <v>0</v>
      </c>
      <c r="P17" s="187">
        <v>40</v>
      </c>
      <c r="Q17" s="205">
        <v>0.5</v>
      </c>
      <c r="R17" s="197"/>
      <c r="S17" s="182">
        <v>20</v>
      </c>
      <c r="T17" s="193">
        <f t="shared" si="2"/>
        <v>0.25</v>
      </c>
      <c r="U17" s="193">
        <f t="shared" si="3"/>
        <v>0.75</v>
      </c>
      <c r="V17" s="194"/>
      <c r="W17" s="195">
        <f t="shared" si="5"/>
        <v>0</v>
      </c>
      <c r="X17" s="195">
        <f t="shared" si="6"/>
        <v>0</v>
      </c>
      <c r="Y17" s="195">
        <f t="shared" si="7"/>
        <v>0</v>
      </c>
      <c r="Z17" s="168"/>
      <c r="AA17" s="11"/>
      <c r="AC17" s="161"/>
      <c r="AN17" s="195">
        <f t="shared" si="8"/>
        <v>0</v>
      </c>
    </row>
    <row r="18" spans="1:40" s="2" customFormat="1" ht="30" x14ac:dyDescent="0.25">
      <c r="A18" s="182" t="s">
        <v>444</v>
      </c>
      <c r="B18" s="183">
        <v>4468</v>
      </c>
      <c r="C18" s="184" t="s">
        <v>61</v>
      </c>
      <c r="D18" s="210" t="s">
        <v>445</v>
      </c>
      <c r="E18" s="187" t="s">
        <v>355</v>
      </c>
      <c r="F18" s="212"/>
      <c r="G18" s="184" t="s">
        <v>374</v>
      </c>
      <c r="H18" s="184" t="s">
        <v>33</v>
      </c>
      <c r="I18" s="184" t="s">
        <v>35</v>
      </c>
      <c r="J18" s="184" t="s">
        <v>36</v>
      </c>
      <c r="K18" s="184" t="s">
        <v>35</v>
      </c>
      <c r="L18" s="184" t="s">
        <v>35</v>
      </c>
      <c r="M18" s="284" t="s">
        <v>36</v>
      </c>
      <c r="N18" s="184" t="s">
        <v>446</v>
      </c>
      <c r="O18" s="211">
        <v>90000</v>
      </c>
      <c r="P18" s="187">
        <v>0</v>
      </c>
      <c r="Q18" s="205">
        <v>0.5</v>
      </c>
      <c r="R18" s="197">
        <f>O18*Q18</f>
        <v>45000</v>
      </c>
      <c r="S18" s="182">
        <f t="shared" ref="S18:S28" si="9">P18*Q18</f>
        <v>0</v>
      </c>
      <c r="T18" s="213">
        <f t="shared" si="2"/>
        <v>0.25</v>
      </c>
      <c r="U18" s="193">
        <f t="shared" si="3"/>
        <v>0.75</v>
      </c>
      <c r="V18" s="194">
        <f t="shared" ref="V18:V33" si="10">(U18-T18)/SQRT(12)</f>
        <v>0.14433756729740646</v>
      </c>
      <c r="W18" s="195">
        <f t="shared" si="5"/>
        <v>51.312150000000003</v>
      </c>
      <c r="X18" s="195">
        <f t="shared" si="6"/>
        <v>52.77</v>
      </c>
      <c r="Y18" s="195">
        <f t="shared" si="7"/>
        <v>54.6</v>
      </c>
      <c r="Z18" s="214">
        <v>51</v>
      </c>
      <c r="AA18" s="11"/>
      <c r="AF18" s="161">
        <v>51</v>
      </c>
      <c r="AG18" s="161"/>
      <c r="AN18" s="195">
        <f t="shared" si="8"/>
        <v>51.312150000000003</v>
      </c>
    </row>
    <row r="19" spans="1:40" s="2" customFormat="1" ht="30" x14ac:dyDescent="0.25">
      <c r="A19" s="182" t="s">
        <v>131</v>
      </c>
      <c r="B19" s="183">
        <v>3360</v>
      </c>
      <c r="C19" s="184" t="s">
        <v>61</v>
      </c>
      <c r="D19" s="215" t="s">
        <v>132</v>
      </c>
      <c r="E19" s="187" t="s">
        <v>14</v>
      </c>
      <c r="F19" s="186"/>
      <c r="G19" s="184" t="s">
        <v>374</v>
      </c>
      <c r="H19" s="184" t="s">
        <v>33</v>
      </c>
      <c r="I19" s="184" t="s">
        <v>35</v>
      </c>
      <c r="J19" s="184" t="s">
        <v>34</v>
      </c>
      <c r="K19" s="184" t="s">
        <v>35</v>
      </c>
      <c r="L19" s="184" t="s">
        <v>35</v>
      </c>
      <c r="M19" s="196" t="s">
        <v>34</v>
      </c>
      <c r="N19" s="184" t="s">
        <v>113</v>
      </c>
      <c r="O19" s="211">
        <v>400000</v>
      </c>
      <c r="P19" s="187">
        <v>0</v>
      </c>
      <c r="Q19" s="191">
        <v>0.5</v>
      </c>
      <c r="R19" s="197">
        <f>O19*Q19</f>
        <v>200000</v>
      </c>
      <c r="S19" s="182">
        <f t="shared" si="9"/>
        <v>0</v>
      </c>
      <c r="T19" s="193">
        <f t="shared" si="2"/>
        <v>0.25</v>
      </c>
      <c r="U19" s="193">
        <f t="shared" si="3"/>
        <v>0.75</v>
      </c>
      <c r="V19" s="194">
        <f t="shared" si="10"/>
        <v>0.14433756729740646</v>
      </c>
      <c r="W19" s="195">
        <f t="shared" si="5"/>
        <v>228.054</v>
      </c>
      <c r="X19" s="195">
        <f t="shared" si="6"/>
        <v>234.53333333333333</v>
      </c>
      <c r="Y19" s="195">
        <f t="shared" si="7"/>
        <v>242.66666666666669</v>
      </c>
      <c r="Z19" s="217"/>
      <c r="AA19" s="11"/>
      <c r="AG19" s="161">
        <v>228</v>
      </c>
      <c r="AH19" s="161"/>
      <c r="AN19" s="195">
        <f t="shared" si="8"/>
        <v>228.054</v>
      </c>
    </row>
    <row r="20" spans="1:40" s="2" customFormat="1" ht="45" x14ac:dyDescent="0.25">
      <c r="A20" s="182" t="s">
        <v>318</v>
      </c>
      <c r="B20" s="218">
        <v>3835</v>
      </c>
      <c r="C20" s="184" t="s">
        <v>61</v>
      </c>
      <c r="D20" s="219" t="s">
        <v>216</v>
      </c>
      <c r="E20" s="187" t="s">
        <v>385</v>
      </c>
      <c r="F20" s="186"/>
      <c r="G20" s="184" t="s">
        <v>374</v>
      </c>
      <c r="H20" s="184" t="s">
        <v>33</v>
      </c>
      <c r="I20" s="184" t="s">
        <v>35</v>
      </c>
      <c r="J20" s="184" t="s">
        <v>33</v>
      </c>
      <c r="K20" s="184" t="s">
        <v>33</v>
      </c>
      <c r="L20" s="184" t="s">
        <v>35</v>
      </c>
      <c r="M20" s="206" t="s">
        <v>33</v>
      </c>
      <c r="N20" s="220" t="s">
        <v>215</v>
      </c>
      <c r="O20" s="211">
        <v>200000</v>
      </c>
      <c r="P20" s="187"/>
      <c r="Q20" s="205">
        <v>0.25</v>
      </c>
      <c r="R20" s="197">
        <f>O20*Q20</f>
        <v>50000</v>
      </c>
      <c r="S20" s="182">
        <f t="shared" si="9"/>
        <v>0</v>
      </c>
      <c r="T20" s="193">
        <f t="shared" si="2"/>
        <v>0.25</v>
      </c>
      <c r="U20" s="193">
        <f t="shared" si="3"/>
        <v>0.75</v>
      </c>
      <c r="V20" s="194">
        <f t="shared" si="10"/>
        <v>0.14433756729740646</v>
      </c>
      <c r="W20" s="195">
        <f t="shared" si="5"/>
        <v>97.36033333333333</v>
      </c>
      <c r="X20" s="195">
        <f t="shared" si="6"/>
        <v>100.6</v>
      </c>
      <c r="Y20" s="195">
        <f t="shared" si="7"/>
        <v>104.66666666666666</v>
      </c>
      <c r="Z20" s="168"/>
      <c r="AA20" s="11"/>
      <c r="AE20" s="161">
        <v>97</v>
      </c>
      <c r="AF20" s="161"/>
      <c r="AN20" s="195">
        <f t="shared" si="8"/>
        <v>97.36033333333333</v>
      </c>
    </row>
    <row r="21" spans="1:40" s="2" customFormat="1" ht="30" x14ac:dyDescent="0.25">
      <c r="A21" s="182" t="s">
        <v>319</v>
      </c>
      <c r="B21" s="183">
        <v>3836</v>
      </c>
      <c r="C21" s="184" t="s">
        <v>61</v>
      </c>
      <c r="D21" s="219" t="s">
        <v>328</v>
      </c>
      <c r="E21" s="187" t="s">
        <v>339</v>
      </c>
      <c r="F21" s="186"/>
      <c r="G21" s="184" t="s">
        <v>374</v>
      </c>
      <c r="H21" s="184" t="s">
        <v>33</v>
      </c>
      <c r="I21" s="184" t="s">
        <v>35</v>
      </c>
      <c r="J21" s="184" t="s">
        <v>33</v>
      </c>
      <c r="K21" s="184" t="s">
        <v>33</v>
      </c>
      <c r="L21" s="184" t="s">
        <v>155</v>
      </c>
      <c r="M21" s="206" t="s">
        <v>33</v>
      </c>
      <c r="N21" s="184" t="s">
        <v>113</v>
      </c>
      <c r="O21" s="211">
        <v>250000</v>
      </c>
      <c r="P21" s="187"/>
      <c r="Q21" s="205">
        <v>0.8</v>
      </c>
      <c r="R21" s="197">
        <f>O21*Q21</f>
        <v>200000</v>
      </c>
      <c r="S21" s="182">
        <f t="shared" si="9"/>
        <v>0</v>
      </c>
      <c r="T21" s="193">
        <f t="shared" si="2"/>
        <v>0.25</v>
      </c>
      <c r="U21" s="193">
        <f t="shared" si="3"/>
        <v>0.75</v>
      </c>
      <c r="V21" s="194">
        <f t="shared" si="10"/>
        <v>0.14433756729740646</v>
      </c>
      <c r="W21" s="195">
        <f t="shared" si="5"/>
        <v>167.53375</v>
      </c>
      <c r="X21" s="195">
        <f t="shared" si="6"/>
        <v>171.58333333333334</v>
      </c>
      <c r="Y21" s="195">
        <f t="shared" si="7"/>
        <v>176.66666666666666</v>
      </c>
      <c r="Z21" s="209">
        <f>SUM(W19:W21)</f>
        <v>492.94808333333333</v>
      </c>
      <c r="AA21" s="11"/>
      <c r="AD21" s="161">
        <v>168</v>
      </c>
      <c r="AE21" s="161"/>
      <c r="AF21" s="161"/>
      <c r="AG21" s="161"/>
      <c r="AJ21" s="2" t="s">
        <v>618</v>
      </c>
      <c r="AN21" s="195">
        <f t="shared" si="8"/>
        <v>167.53375</v>
      </c>
    </row>
    <row r="22" spans="1:40" s="2" customFormat="1" ht="45" x14ac:dyDescent="0.25">
      <c r="A22" s="182" t="s">
        <v>608</v>
      </c>
      <c r="B22" s="358">
        <v>6045</v>
      </c>
      <c r="C22" s="184" t="s">
        <v>61</v>
      </c>
      <c r="D22" s="219" t="s">
        <v>610</v>
      </c>
      <c r="E22" s="187" t="s">
        <v>363</v>
      </c>
      <c r="F22" s="186"/>
      <c r="G22" s="184" t="s">
        <v>374</v>
      </c>
      <c r="H22" s="184" t="s">
        <v>36</v>
      </c>
      <c r="I22" s="184" t="s">
        <v>155</v>
      </c>
      <c r="J22" s="184" t="s">
        <v>36</v>
      </c>
      <c r="K22" s="184" t="s">
        <v>36</v>
      </c>
      <c r="L22" s="184" t="s">
        <v>33</v>
      </c>
      <c r="M22" s="206"/>
      <c r="N22" s="184" t="s">
        <v>611</v>
      </c>
      <c r="O22" s="211">
        <v>300000</v>
      </c>
      <c r="P22" s="187">
        <v>30</v>
      </c>
      <c r="Q22" s="205">
        <v>0.15</v>
      </c>
      <c r="R22" s="197">
        <f>O22*Q22</f>
        <v>45000</v>
      </c>
      <c r="S22" s="182">
        <f t="shared" si="9"/>
        <v>4.5</v>
      </c>
      <c r="T22" s="193">
        <f t="shared" si="2"/>
        <v>0.1</v>
      </c>
      <c r="U22" s="193">
        <f t="shared" si="3"/>
        <v>0.25</v>
      </c>
      <c r="V22" s="194">
        <f t="shared" si="10"/>
        <v>4.3301270189221933E-2</v>
      </c>
      <c r="W22" s="195">
        <f t="shared" si="5"/>
        <v>56.312150000000003</v>
      </c>
      <c r="X22" s="195">
        <f t="shared" si="6"/>
        <v>57.77</v>
      </c>
      <c r="Y22" s="195">
        <f t="shared" si="7"/>
        <v>59.6</v>
      </c>
      <c r="Z22" s="209"/>
      <c r="AA22" s="11"/>
      <c r="AF22" s="161">
        <v>56</v>
      </c>
      <c r="AJ22" s="2" t="s">
        <v>619</v>
      </c>
      <c r="AN22" s="195">
        <f t="shared" si="8"/>
        <v>56.312150000000003</v>
      </c>
    </row>
    <row r="23" spans="1:40" s="2" customFormat="1" x14ac:dyDescent="0.25">
      <c r="A23" s="182" t="s">
        <v>40</v>
      </c>
      <c r="B23" s="183">
        <v>3363</v>
      </c>
      <c r="C23" s="184" t="s">
        <v>61</v>
      </c>
      <c r="D23" s="215" t="s">
        <v>186</v>
      </c>
      <c r="E23" s="187" t="s">
        <v>365</v>
      </c>
      <c r="F23" s="186"/>
      <c r="G23" s="184" t="s">
        <v>374</v>
      </c>
      <c r="H23" s="184" t="s">
        <v>36</v>
      </c>
      <c r="I23" s="184" t="s">
        <v>33</v>
      </c>
      <c r="J23" s="184" t="s">
        <v>36</v>
      </c>
      <c r="K23" s="184" t="s">
        <v>35</v>
      </c>
      <c r="L23" s="184" t="s">
        <v>35</v>
      </c>
      <c r="M23" s="206" t="s">
        <v>33</v>
      </c>
      <c r="N23" s="184" t="s">
        <v>74</v>
      </c>
      <c r="O23" s="211">
        <v>2545787</v>
      </c>
      <c r="P23" s="187">
        <v>500</v>
      </c>
      <c r="Q23" s="205">
        <v>0.1</v>
      </c>
      <c r="R23" s="197">
        <v>0</v>
      </c>
      <c r="S23" s="182">
        <f t="shared" si="9"/>
        <v>50</v>
      </c>
      <c r="T23" s="193">
        <f t="shared" si="2"/>
        <v>0.1</v>
      </c>
      <c r="U23" s="193">
        <f t="shared" si="3"/>
        <v>0.25</v>
      </c>
      <c r="V23" s="194">
        <f t="shared" si="10"/>
        <v>4.3301270189221933E-2</v>
      </c>
      <c r="W23" s="195">
        <f t="shared" si="5"/>
        <v>435.43268137350003</v>
      </c>
      <c r="X23" s="195">
        <f t="shared" si="6"/>
        <v>447.80393330000004</v>
      </c>
      <c r="Y23" s="195">
        <f t="shared" si="7"/>
        <v>463.33323400000006</v>
      </c>
      <c r="Z23" s="168"/>
      <c r="AA23" s="11"/>
      <c r="AH23" s="161">
        <v>435</v>
      </c>
      <c r="AN23" s="195">
        <f t="shared" si="8"/>
        <v>435.43268137350003</v>
      </c>
    </row>
    <row r="24" spans="1:40" s="2" customFormat="1" ht="45" x14ac:dyDescent="0.25">
      <c r="A24" s="182" t="s">
        <v>182</v>
      </c>
      <c r="B24" s="216">
        <v>3364</v>
      </c>
      <c r="C24" s="184" t="s">
        <v>61</v>
      </c>
      <c r="D24" s="215" t="s">
        <v>183</v>
      </c>
      <c r="E24" s="187" t="s">
        <v>510</v>
      </c>
      <c r="F24" s="186"/>
      <c r="G24" s="184" t="s">
        <v>374</v>
      </c>
      <c r="H24" s="184" t="s">
        <v>36</v>
      </c>
      <c r="I24" s="184" t="s">
        <v>35</v>
      </c>
      <c r="J24" s="184" t="s">
        <v>34</v>
      </c>
      <c r="K24" s="184" t="s">
        <v>35</v>
      </c>
      <c r="L24" s="184" t="s">
        <v>35</v>
      </c>
      <c r="M24" s="206" t="s">
        <v>33</v>
      </c>
      <c r="N24" s="184" t="s">
        <v>74</v>
      </c>
      <c r="O24" s="211">
        <v>500000</v>
      </c>
      <c r="P24" s="187"/>
      <c r="Q24" s="205">
        <v>0.25</v>
      </c>
      <c r="R24" s="197">
        <f t="shared" ref="R24:R33" si="11">O24*Q24</f>
        <v>125000</v>
      </c>
      <c r="S24" s="182">
        <f t="shared" si="9"/>
        <v>0</v>
      </c>
      <c r="T24" s="193">
        <f t="shared" si="2"/>
        <v>0.1</v>
      </c>
      <c r="U24" s="193">
        <f t="shared" si="3"/>
        <v>0.25</v>
      </c>
      <c r="V24" s="194">
        <f t="shared" si="10"/>
        <v>4.3301270189221933E-2</v>
      </c>
      <c r="W24" s="195">
        <f t="shared" si="5"/>
        <v>110.52025</v>
      </c>
      <c r="X24" s="195">
        <f t="shared" si="6"/>
        <v>112.95</v>
      </c>
      <c r="Y24" s="195">
        <f t="shared" si="7"/>
        <v>116</v>
      </c>
      <c r="Z24" s="168"/>
      <c r="AA24" s="11"/>
      <c r="AD24" s="161">
        <v>111</v>
      </c>
      <c r="AE24" s="161"/>
      <c r="AF24" s="161"/>
      <c r="AG24" s="161"/>
      <c r="AH24" s="161"/>
      <c r="AN24" s="195">
        <f t="shared" si="8"/>
        <v>110.52025</v>
      </c>
    </row>
    <row r="25" spans="1:40" s="2" customFormat="1" ht="60" x14ac:dyDescent="0.25">
      <c r="A25" s="182" t="s">
        <v>37</v>
      </c>
      <c r="B25" s="183">
        <v>3365</v>
      </c>
      <c r="C25" s="184" t="s">
        <v>121</v>
      </c>
      <c r="D25" s="215" t="s">
        <v>164</v>
      </c>
      <c r="E25" s="187" t="s">
        <v>510</v>
      </c>
      <c r="F25" s="186"/>
      <c r="G25" s="184" t="s">
        <v>374</v>
      </c>
      <c r="H25" s="184" t="s">
        <v>36</v>
      </c>
      <c r="I25" s="184" t="s">
        <v>35</v>
      </c>
      <c r="J25" s="184" t="s">
        <v>33</v>
      </c>
      <c r="K25" s="184" t="s">
        <v>35</v>
      </c>
      <c r="L25" s="184" t="s">
        <v>35</v>
      </c>
      <c r="M25" s="206" t="s">
        <v>33</v>
      </c>
      <c r="N25" s="184" t="s">
        <v>74</v>
      </c>
      <c r="O25" s="211">
        <v>-500000</v>
      </c>
      <c r="P25" s="187"/>
      <c r="Q25" s="205">
        <v>0.1</v>
      </c>
      <c r="R25" s="197">
        <f t="shared" si="11"/>
        <v>-50000</v>
      </c>
      <c r="S25" s="182">
        <f t="shared" si="9"/>
        <v>0</v>
      </c>
      <c r="T25" s="193">
        <f t="shared" si="2"/>
        <v>0.1</v>
      </c>
      <c r="U25" s="193">
        <f t="shared" si="3"/>
        <v>0.25</v>
      </c>
      <c r="V25" s="194">
        <f t="shared" si="10"/>
        <v>4.3301270189221933E-2</v>
      </c>
      <c r="W25" s="195">
        <f t="shared" si="5"/>
        <v>-85.520250000000004</v>
      </c>
      <c r="X25" s="195">
        <f t="shared" si="6"/>
        <v>-87.95</v>
      </c>
      <c r="Y25" s="195">
        <f t="shared" si="7"/>
        <v>-91</v>
      </c>
      <c r="Z25" s="168"/>
      <c r="AA25" s="11"/>
      <c r="AD25" s="161">
        <v>-86</v>
      </c>
      <c r="AE25" s="161"/>
      <c r="AF25" s="161"/>
      <c r="AG25" s="161"/>
      <c r="AH25" s="161"/>
      <c r="AN25" s="195">
        <f t="shared" si="8"/>
        <v>-85.520250000000004</v>
      </c>
    </row>
    <row r="26" spans="1:40" s="2" customFormat="1" ht="41.25" customHeight="1" x14ac:dyDescent="0.25">
      <c r="A26" s="182" t="s">
        <v>72</v>
      </c>
      <c r="B26" s="183">
        <v>3366</v>
      </c>
      <c r="C26" s="184" t="s">
        <v>61</v>
      </c>
      <c r="D26" s="215" t="s">
        <v>443</v>
      </c>
      <c r="E26" s="187" t="s">
        <v>510</v>
      </c>
      <c r="F26" s="186"/>
      <c r="G26" s="184" t="s">
        <v>374</v>
      </c>
      <c r="H26" s="184" t="s">
        <v>33</v>
      </c>
      <c r="I26" s="184" t="s">
        <v>35</v>
      </c>
      <c r="J26" s="184" t="s">
        <v>64</v>
      </c>
      <c r="K26" s="184" t="s">
        <v>35</v>
      </c>
      <c r="L26" s="184" t="s">
        <v>35</v>
      </c>
      <c r="M26" s="196" t="s">
        <v>34</v>
      </c>
      <c r="N26" s="184" t="s">
        <v>74</v>
      </c>
      <c r="O26" s="211">
        <v>1500000</v>
      </c>
      <c r="P26" s="187">
        <v>0</v>
      </c>
      <c r="Q26" s="205">
        <v>0.5</v>
      </c>
      <c r="R26" s="197">
        <f t="shared" si="11"/>
        <v>750000</v>
      </c>
      <c r="S26" s="182">
        <f t="shared" si="9"/>
        <v>0</v>
      </c>
      <c r="T26" s="193">
        <f t="shared" si="2"/>
        <v>0.25</v>
      </c>
      <c r="U26" s="193">
        <f t="shared" si="3"/>
        <v>0.75</v>
      </c>
      <c r="V26" s="193">
        <f t="shared" si="10"/>
        <v>0.14433756729740646</v>
      </c>
      <c r="W26" s="195">
        <f t="shared" si="5"/>
        <v>855.20249999999999</v>
      </c>
      <c r="X26" s="195">
        <f t="shared" si="6"/>
        <v>879.5</v>
      </c>
      <c r="Y26" s="195">
        <f t="shared" si="7"/>
        <v>910</v>
      </c>
      <c r="Z26" s="168"/>
      <c r="AA26" s="11"/>
      <c r="AD26" s="161">
        <v>855</v>
      </c>
      <c r="AE26" s="161"/>
      <c r="AF26" s="161"/>
      <c r="AG26" s="161"/>
      <c r="AH26" s="161"/>
      <c r="AN26" s="195">
        <f t="shared" si="8"/>
        <v>855.20249999999999</v>
      </c>
    </row>
    <row r="27" spans="1:40" s="2" customFormat="1" ht="45" x14ac:dyDescent="0.25">
      <c r="A27" s="182" t="s">
        <v>272</v>
      </c>
      <c r="B27" s="183">
        <v>3350</v>
      </c>
      <c r="C27" s="184" t="s">
        <v>61</v>
      </c>
      <c r="D27" s="219" t="s">
        <v>396</v>
      </c>
      <c r="E27" s="187" t="s">
        <v>397</v>
      </c>
      <c r="F27" s="186">
        <v>25000</v>
      </c>
      <c r="G27" s="184" t="s">
        <v>374</v>
      </c>
      <c r="H27" s="184" t="s">
        <v>155</v>
      </c>
      <c r="I27" s="184" t="s">
        <v>34</v>
      </c>
      <c r="J27" s="184" t="s">
        <v>64</v>
      </c>
      <c r="K27" s="184" t="s">
        <v>35</v>
      </c>
      <c r="L27" s="184" t="s">
        <v>64</v>
      </c>
      <c r="M27" s="206" t="s">
        <v>33</v>
      </c>
      <c r="N27" s="184" t="s">
        <v>301</v>
      </c>
      <c r="O27" s="211">
        <v>1000000</v>
      </c>
      <c r="P27" s="187">
        <v>260</v>
      </c>
      <c r="Q27" s="205">
        <v>0.01</v>
      </c>
      <c r="R27" s="197">
        <f t="shared" si="11"/>
        <v>10000</v>
      </c>
      <c r="S27" s="182">
        <f t="shared" si="9"/>
        <v>2.6</v>
      </c>
      <c r="T27" s="193">
        <f t="shared" si="2"/>
        <v>0</v>
      </c>
      <c r="U27" s="193">
        <f t="shared" si="3"/>
        <v>0.1</v>
      </c>
      <c r="V27" s="193">
        <f t="shared" si="10"/>
        <v>2.8867513459481291E-2</v>
      </c>
      <c r="W27" s="195">
        <f t="shared" si="5"/>
        <v>50.693666666666665</v>
      </c>
      <c r="X27" s="195">
        <f t="shared" si="6"/>
        <v>53.93333333333333</v>
      </c>
      <c r="Y27" s="195">
        <f t="shared" si="7"/>
        <v>58</v>
      </c>
      <c r="Z27" s="168"/>
      <c r="AA27" s="12"/>
      <c r="AC27" s="161">
        <v>51</v>
      </c>
      <c r="AD27" s="161"/>
      <c r="AE27" s="161"/>
      <c r="AF27" s="161"/>
      <c r="AG27" s="161"/>
      <c r="AH27" s="161"/>
      <c r="AN27" s="195">
        <f t="shared" si="8"/>
        <v>50.693666666666665</v>
      </c>
    </row>
    <row r="28" spans="1:40" s="2" customFormat="1" ht="30" x14ac:dyDescent="0.25">
      <c r="A28" s="182" t="s">
        <v>310</v>
      </c>
      <c r="B28" s="183">
        <v>3757</v>
      </c>
      <c r="C28" s="184" t="s">
        <v>61</v>
      </c>
      <c r="D28" s="215" t="s">
        <v>311</v>
      </c>
      <c r="E28" s="187" t="s">
        <v>511</v>
      </c>
      <c r="F28" s="186"/>
      <c r="G28" s="184" t="s">
        <v>374</v>
      </c>
      <c r="H28" s="184" t="s">
        <v>36</v>
      </c>
      <c r="I28" s="184" t="s">
        <v>35</v>
      </c>
      <c r="J28" s="184" t="s">
        <v>155</v>
      </c>
      <c r="K28" s="184" t="s">
        <v>35</v>
      </c>
      <c r="L28" s="184" t="s">
        <v>35</v>
      </c>
      <c r="M28" s="284" t="s">
        <v>36</v>
      </c>
      <c r="N28" s="184" t="s">
        <v>74</v>
      </c>
      <c r="O28" s="211">
        <v>100000</v>
      </c>
      <c r="P28" s="187">
        <v>0</v>
      </c>
      <c r="Q28" s="205">
        <v>0.1</v>
      </c>
      <c r="R28" s="197">
        <f t="shared" si="11"/>
        <v>10000</v>
      </c>
      <c r="S28" s="182">
        <f t="shared" si="9"/>
        <v>0</v>
      </c>
      <c r="T28" s="193">
        <f t="shared" si="2"/>
        <v>0.1</v>
      </c>
      <c r="U28" s="193">
        <f t="shared" si="3"/>
        <v>0.25</v>
      </c>
      <c r="V28" s="193">
        <f t="shared" si="10"/>
        <v>4.3301270189221933E-2</v>
      </c>
      <c r="W28" s="195">
        <f t="shared" si="5"/>
        <v>17.104050000000001</v>
      </c>
      <c r="X28" s="195">
        <f t="shared" si="6"/>
        <v>17.59</v>
      </c>
      <c r="Y28" s="195">
        <f t="shared" si="7"/>
        <v>18.2</v>
      </c>
      <c r="Z28" s="217"/>
      <c r="AA28" s="11"/>
      <c r="AE28" s="161">
        <v>17</v>
      </c>
      <c r="AF28" s="161"/>
      <c r="AN28" s="195">
        <f t="shared" si="8"/>
        <v>17.104050000000001</v>
      </c>
    </row>
    <row r="29" spans="1:40" s="2" customFormat="1" ht="30" x14ac:dyDescent="0.25">
      <c r="A29" s="182" t="s">
        <v>366</v>
      </c>
      <c r="B29" s="183">
        <v>3844</v>
      </c>
      <c r="C29" s="184" t="s">
        <v>121</v>
      </c>
      <c r="D29" s="215" t="s">
        <v>367</v>
      </c>
      <c r="E29" s="187" t="s">
        <v>15</v>
      </c>
      <c r="F29" s="186"/>
      <c r="G29" s="184" t="s">
        <v>374</v>
      </c>
      <c r="H29" s="184" t="s">
        <v>36</v>
      </c>
      <c r="I29" s="184" t="s">
        <v>35</v>
      </c>
      <c r="J29" s="184" t="s">
        <v>64</v>
      </c>
      <c r="K29" s="184" t="s">
        <v>35</v>
      </c>
      <c r="L29" s="184" t="s">
        <v>35</v>
      </c>
      <c r="M29" s="196" t="s">
        <v>34</v>
      </c>
      <c r="N29" s="184" t="s">
        <v>74</v>
      </c>
      <c r="O29" s="211">
        <v>-1173000</v>
      </c>
      <c r="P29" s="187"/>
      <c r="Q29" s="205">
        <v>0.1</v>
      </c>
      <c r="R29" s="197">
        <f t="shared" si="11"/>
        <v>-117300</v>
      </c>
      <c r="S29" s="182"/>
      <c r="T29" s="193">
        <f t="shared" si="2"/>
        <v>0.1</v>
      </c>
      <c r="U29" s="193">
        <f t="shared" si="3"/>
        <v>0.25</v>
      </c>
      <c r="V29" s="193">
        <f t="shared" si="10"/>
        <v>4.3301270189221933E-2</v>
      </c>
      <c r="W29" s="195">
        <f t="shared" si="5"/>
        <v>-200.6305065</v>
      </c>
      <c r="X29" s="195">
        <f t="shared" si="6"/>
        <v>-206.33070000000001</v>
      </c>
      <c r="Y29" s="195">
        <f t="shared" si="7"/>
        <v>-213.48599999999999</v>
      </c>
      <c r="Z29" s="217"/>
      <c r="AA29" s="11"/>
      <c r="AD29" s="161">
        <v>-201</v>
      </c>
      <c r="AE29" s="161"/>
      <c r="AF29" s="161"/>
      <c r="AG29" s="161"/>
      <c r="AN29" s="195">
        <f t="shared" si="8"/>
        <v>-200.6305065</v>
      </c>
    </row>
    <row r="30" spans="1:40" s="2" customFormat="1" ht="30" x14ac:dyDescent="0.25">
      <c r="A30" s="182" t="s">
        <v>369</v>
      </c>
      <c r="B30" s="183">
        <v>3845</v>
      </c>
      <c r="C30" s="184" t="s">
        <v>61</v>
      </c>
      <c r="D30" s="215" t="s">
        <v>370</v>
      </c>
      <c r="E30" s="187" t="s">
        <v>15</v>
      </c>
      <c r="F30" s="186"/>
      <c r="G30" s="184" t="s">
        <v>374</v>
      </c>
      <c r="H30" s="184" t="s">
        <v>36</v>
      </c>
      <c r="I30" s="184" t="s">
        <v>35</v>
      </c>
      <c r="J30" s="184" t="s">
        <v>64</v>
      </c>
      <c r="K30" s="184" t="s">
        <v>35</v>
      </c>
      <c r="L30" s="184" t="s">
        <v>35</v>
      </c>
      <c r="M30" s="196" t="s">
        <v>34</v>
      </c>
      <c r="N30" s="184" t="s">
        <v>74</v>
      </c>
      <c r="O30" s="211">
        <v>1173000</v>
      </c>
      <c r="P30" s="187"/>
      <c r="Q30" s="205">
        <v>0.2</v>
      </c>
      <c r="R30" s="197">
        <f t="shared" si="11"/>
        <v>234600</v>
      </c>
      <c r="S30" s="182"/>
      <c r="T30" s="193">
        <f t="shared" si="2"/>
        <v>0.1</v>
      </c>
      <c r="U30" s="193">
        <f t="shared" si="3"/>
        <v>0.25</v>
      </c>
      <c r="V30" s="193">
        <f t="shared" si="10"/>
        <v>4.3301270189221933E-2</v>
      </c>
      <c r="W30" s="195">
        <f t="shared" si="5"/>
        <v>239.73050649999999</v>
      </c>
      <c r="X30" s="195">
        <f t="shared" si="6"/>
        <v>245.4307</v>
      </c>
      <c r="Y30" s="195">
        <f t="shared" si="7"/>
        <v>252.58600000000001</v>
      </c>
      <c r="Z30" s="209">
        <f>SUM(W23:W30)</f>
        <v>1422.5328980401666</v>
      </c>
      <c r="AA30" s="11"/>
      <c r="AD30" s="161">
        <v>240</v>
      </c>
      <c r="AE30" s="161"/>
      <c r="AF30" s="161"/>
      <c r="AG30" s="161"/>
      <c r="AN30" s="195">
        <f t="shared" si="8"/>
        <v>239.73050649999999</v>
      </c>
    </row>
    <row r="31" spans="1:40" s="2" customFormat="1" ht="30" x14ac:dyDescent="0.25">
      <c r="A31" s="182" t="s">
        <v>69</v>
      </c>
      <c r="B31" s="183">
        <v>3368</v>
      </c>
      <c r="C31" s="184" t="s">
        <v>61</v>
      </c>
      <c r="D31" s="215" t="s">
        <v>70</v>
      </c>
      <c r="E31" s="184" t="s">
        <v>348</v>
      </c>
      <c r="F31" s="186"/>
      <c r="G31" s="184" t="s">
        <v>374</v>
      </c>
      <c r="H31" s="184" t="s">
        <v>36</v>
      </c>
      <c r="I31" s="184" t="s">
        <v>34</v>
      </c>
      <c r="J31" s="184" t="s">
        <v>64</v>
      </c>
      <c r="K31" s="184" t="s">
        <v>35</v>
      </c>
      <c r="L31" s="184" t="s">
        <v>35</v>
      </c>
      <c r="M31" s="196" t="s">
        <v>34</v>
      </c>
      <c r="N31" s="184" t="s">
        <v>71</v>
      </c>
      <c r="O31" s="211">
        <v>1000000</v>
      </c>
      <c r="P31" s="187">
        <v>60</v>
      </c>
      <c r="Q31" s="205">
        <v>0.2</v>
      </c>
      <c r="R31" s="197">
        <f t="shared" si="11"/>
        <v>200000</v>
      </c>
      <c r="S31" s="182">
        <f>P31*Q31</f>
        <v>12</v>
      </c>
      <c r="T31" s="193">
        <f t="shared" si="2"/>
        <v>0.1</v>
      </c>
      <c r="U31" s="193">
        <f t="shared" si="3"/>
        <v>0.25</v>
      </c>
      <c r="V31" s="194">
        <f t="shared" si="10"/>
        <v>4.3301270189221933E-2</v>
      </c>
      <c r="W31" s="195">
        <f t="shared" si="5"/>
        <v>204.37383333333335</v>
      </c>
      <c r="X31" s="195">
        <f t="shared" si="6"/>
        <v>209.23333333333335</v>
      </c>
      <c r="Y31" s="195">
        <f t="shared" si="7"/>
        <v>215.33333333333334</v>
      </c>
      <c r="Z31" s="168"/>
      <c r="AA31" s="11"/>
      <c r="AE31" s="161">
        <v>204</v>
      </c>
      <c r="AF31" s="161"/>
      <c r="AG31" s="161"/>
      <c r="AH31" s="161"/>
      <c r="AN31" s="195">
        <f t="shared" si="8"/>
        <v>204.37383333333335</v>
      </c>
    </row>
    <row r="32" spans="1:40" s="2" customFormat="1" ht="45" x14ac:dyDescent="0.25">
      <c r="A32" s="182" t="s">
        <v>170</v>
      </c>
      <c r="B32" s="183">
        <v>3373</v>
      </c>
      <c r="C32" s="184" t="s">
        <v>61</v>
      </c>
      <c r="D32" s="215" t="s">
        <v>171</v>
      </c>
      <c r="E32" s="184" t="s">
        <v>348</v>
      </c>
      <c r="F32" s="186">
        <v>100000</v>
      </c>
      <c r="G32" s="184" t="s">
        <v>374</v>
      </c>
      <c r="H32" s="184" t="s">
        <v>36</v>
      </c>
      <c r="I32" s="184" t="s">
        <v>35</v>
      </c>
      <c r="J32" s="184" t="s">
        <v>36</v>
      </c>
      <c r="K32" s="184" t="s">
        <v>36</v>
      </c>
      <c r="L32" s="184" t="s">
        <v>33</v>
      </c>
      <c r="M32" s="206" t="s">
        <v>33</v>
      </c>
      <c r="N32" s="184" t="s">
        <v>172</v>
      </c>
      <c r="O32" s="211">
        <v>100000</v>
      </c>
      <c r="P32" s="187"/>
      <c r="Q32" s="205">
        <v>0.2</v>
      </c>
      <c r="R32" s="197">
        <f t="shared" si="11"/>
        <v>20000</v>
      </c>
      <c r="S32" s="182">
        <f>P32*Q32</f>
        <v>0</v>
      </c>
      <c r="T32" s="193">
        <f t="shared" si="2"/>
        <v>0.1</v>
      </c>
      <c r="U32" s="193">
        <f t="shared" si="3"/>
        <v>0.25</v>
      </c>
      <c r="V32" s="194">
        <f t="shared" si="10"/>
        <v>4.3301270189221933E-2</v>
      </c>
      <c r="W32" s="195">
        <f t="shared" si="5"/>
        <v>20.437383333333337</v>
      </c>
      <c r="X32" s="195">
        <f t="shared" si="6"/>
        <v>20.923333333333336</v>
      </c>
      <c r="Y32" s="195">
        <f t="shared" si="7"/>
        <v>21.533333333333335</v>
      </c>
      <c r="Z32" s="168"/>
      <c r="AA32" s="11"/>
      <c r="AE32" s="161">
        <v>20</v>
      </c>
      <c r="AF32" s="161"/>
      <c r="AG32" s="161"/>
      <c r="AH32" s="161"/>
      <c r="AN32" s="195">
        <f t="shared" si="8"/>
        <v>20.437383333333337</v>
      </c>
    </row>
    <row r="33" spans="1:40" s="2" customFormat="1" ht="60" x14ac:dyDescent="0.25">
      <c r="A33" s="182" t="s">
        <v>332</v>
      </c>
      <c r="B33" s="183">
        <v>3837</v>
      </c>
      <c r="C33" s="184" t="s">
        <v>61</v>
      </c>
      <c r="D33" s="219" t="s">
        <v>334</v>
      </c>
      <c r="E33" s="187" t="s">
        <v>16</v>
      </c>
      <c r="F33" s="186"/>
      <c r="G33" s="184" t="s">
        <v>374</v>
      </c>
      <c r="H33" s="184" t="s">
        <v>33</v>
      </c>
      <c r="I33" s="184" t="s">
        <v>35</v>
      </c>
      <c r="J33" s="184" t="s">
        <v>34</v>
      </c>
      <c r="K33" s="184" t="s">
        <v>35</v>
      </c>
      <c r="L33" s="184" t="s">
        <v>35</v>
      </c>
      <c r="M33" s="196" t="s">
        <v>34</v>
      </c>
      <c r="N33" s="219" t="s">
        <v>17</v>
      </c>
      <c r="O33" s="211">
        <v>300000</v>
      </c>
      <c r="P33" s="187"/>
      <c r="Q33" s="205">
        <v>0.5</v>
      </c>
      <c r="R33" s="197">
        <f t="shared" si="11"/>
        <v>150000</v>
      </c>
      <c r="S33" s="182">
        <f>P33*Q33</f>
        <v>0</v>
      </c>
      <c r="T33" s="193">
        <f t="shared" si="2"/>
        <v>0.25</v>
      </c>
      <c r="U33" s="193">
        <f t="shared" si="3"/>
        <v>0.75</v>
      </c>
      <c r="V33" s="194">
        <f t="shared" si="10"/>
        <v>0.14433756729740646</v>
      </c>
      <c r="W33" s="195">
        <f t="shared" si="5"/>
        <v>171.04050000000001</v>
      </c>
      <c r="X33" s="195">
        <f t="shared" si="6"/>
        <v>175.9</v>
      </c>
      <c r="Y33" s="195">
        <f t="shared" si="7"/>
        <v>182</v>
      </c>
      <c r="Z33" s="168"/>
      <c r="AA33" s="11"/>
      <c r="AG33" s="161">
        <v>171</v>
      </c>
      <c r="AH33" s="161"/>
      <c r="AN33" s="195">
        <f t="shared" si="8"/>
        <v>171.04050000000001</v>
      </c>
    </row>
    <row r="34" spans="1:40" x14ac:dyDescent="0.25">
      <c r="A34" s="355" t="s">
        <v>372</v>
      </c>
      <c r="AC34">
        <v>-1972</v>
      </c>
      <c r="AI34" t="s">
        <v>620</v>
      </c>
      <c r="AN34" s="168"/>
    </row>
    <row r="35" spans="1:40" s="2" customFormat="1" ht="30" x14ac:dyDescent="0.25">
      <c r="A35" s="223" t="s">
        <v>457</v>
      </c>
      <c r="B35" s="224">
        <v>4556</v>
      </c>
      <c r="C35" s="187" t="s">
        <v>61</v>
      </c>
      <c r="D35" s="225" t="s">
        <v>458</v>
      </c>
      <c r="E35" s="226" t="s">
        <v>514</v>
      </c>
      <c r="F35" s="186">
        <v>700000</v>
      </c>
      <c r="G35" s="184" t="s">
        <v>374</v>
      </c>
      <c r="H35" s="227" t="s">
        <v>155</v>
      </c>
      <c r="I35" s="227" t="s">
        <v>34</v>
      </c>
      <c r="J35" s="227" t="s">
        <v>35</v>
      </c>
      <c r="K35" s="227" t="s">
        <v>35</v>
      </c>
      <c r="L35" s="227" t="s">
        <v>36</v>
      </c>
      <c r="M35" s="284" t="s">
        <v>36</v>
      </c>
      <c r="N35" s="184" t="s">
        <v>459</v>
      </c>
      <c r="O35" s="228">
        <v>2000000</v>
      </c>
      <c r="P35" s="226">
        <v>250</v>
      </c>
      <c r="Q35" s="229">
        <v>0.1</v>
      </c>
      <c r="R35" s="197">
        <f t="shared" ref="R35:R63" si="12">O35*Q35</f>
        <v>200000</v>
      </c>
      <c r="S35" s="182">
        <f t="shared" ref="S35:S63" si="13">P35*Q35</f>
        <v>25</v>
      </c>
      <c r="T35" s="193">
        <f t="shared" ref="T35:T63" si="14">IF(H35="VL",0,IF(H35="L",0.1,IF(H35="M",0.25,IF(H35="H",0.75,IF(H35="VH",0.9,1)))))</f>
        <v>0</v>
      </c>
      <c r="U35" s="193">
        <f t="shared" ref="U35:U63" si="15">IF(H35="VL",0.1,IF(H35="L",0.25,IF(H35="M",0.75,IF(H35="H",0.9,IF(H35="VH",1,1)))))</f>
        <v>0.1</v>
      </c>
      <c r="V35" s="194">
        <f t="shared" ref="V35:V63" si="16">(U35-T35)/SQRT(12)</f>
        <v>2.8867513459481291E-2</v>
      </c>
      <c r="W35" s="195">
        <f t="shared" ref="W35:W63" si="17">($O35*($Q35+$T35+$U35)/3 + $O35*($U35-$T35)/6*0.84162)/1000</f>
        <v>161.38733333333334</v>
      </c>
      <c r="X35" s="195">
        <f t="shared" ref="X35:X63" si="18">($O35*($Q35+$T35+$U35)/3 + $O35*($U35-$T35)/6*1.036)/1000</f>
        <v>167.86666666666667</v>
      </c>
      <c r="Y35" s="195">
        <f t="shared" ref="Y35:Y63" si="19">($O35*($Q35+$T35+$U35)/3 + $O35*($U35-$T35)/6*1.28)/1000</f>
        <v>176</v>
      </c>
      <c r="Z35" s="168"/>
      <c r="AA35" s="11"/>
      <c r="AD35" s="161">
        <v>161</v>
      </c>
      <c r="AN35" s="195">
        <f t="shared" ref="AN35:AN63" si="20">($O35*($Q35+$T35+$U35)/3 + $O35*($U35-$T35)/6*0.84162)/1000</f>
        <v>161.38733333333334</v>
      </c>
    </row>
    <row r="36" spans="1:40" s="2" customFormat="1" ht="45" x14ac:dyDescent="0.25">
      <c r="A36" s="223" t="s">
        <v>479</v>
      </c>
      <c r="B36" s="216">
        <v>4557</v>
      </c>
      <c r="C36" s="187" t="s">
        <v>61</v>
      </c>
      <c r="D36" s="230" t="s">
        <v>534</v>
      </c>
      <c r="E36" s="266" t="s">
        <v>335</v>
      </c>
      <c r="F36" s="231">
        <v>700000</v>
      </c>
      <c r="G36" s="184" t="s">
        <v>374</v>
      </c>
      <c r="H36" s="227" t="s">
        <v>155</v>
      </c>
      <c r="I36" s="227" t="s">
        <v>34</v>
      </c>
      <c r="J36" s="227" t="s">
        <v>64</v>
      </c>
      <c r="K36" s="227" t="s">
        <v>33</v>
      </c>
      <c r="L36" s="227" t="s">
        <v>36</v>
      </c>
      <c r="M36" s="206" t="s">
        <v>33</v>
      </c>
      <c r="N36" s="184" t="s">
        <v>459</v>
      </c>
      <c r="O36" s="232">
        <v>4000000</v>
      </c>
      <c r="P36" s="226">
        <v>250</v>
      </c>
      <c r="Q36" s="233">
        <v>0.1</v>
      </c>
      <c r="R36" s="197">
        <f t="shared" si="12"/>
        <v>400000</v>
      </c>
      <c r="S36" s="182">
        <f t="shared" si="13"/>
        <v>25</v>
      </c>
      <c r="T36" s="193">
        <f t="shared" si="14"/>
        <v>0</v>
      </c>
      <c r="U36" s="193">
        <f t="shared" si="15"/>
        <v>0.1</v>
      </c>
      <c r="V36" s="194">
        <f t="shared" si="16"/>
        <v>2.8867513459481291E-2</v>
      </c>
      <c r="W36" s="195">
        <f t="shared" si="17"/>
        <v>322.77466666666669</v>
      </c>
      <c r="X36" s="195">
        <f t="shared" si="18"/>
        <v>335.73333333333335</v>
      </c>
      <c r="Y36" s="195">
        <f t="shared" si="19"/>
        <v>352</v>
      </c>
      <c r="Z36" s="168"/>
      <c r="AA36" s="11"/>
      <c r="AF36" s="161">
        <v>323</v>
      </c>
      <c r="AG36" s="161"/>
      <c r="AI36" s="2" t="s">
        <v>621</v>
      </c>
      <c r="AN36" s="195">
        <f t="shared" si="20"/>
        <v>322.77466666666669</v>
      </c>
    </row>
    <row r="37" spans="1:40" s="2" customFormat="1" ht="45" x14ac:dyDescent="0.25">
      <c r="A37" s="223" t="s">
        <v>480</v>
      </c>
      <c r="B37" s="216">
        <v>4558</v>
      </c>
      <c r="C37" s="187" t="s">
        <v>61</v>
      </c>
      <c r="D37" s="230" t="s">
        <v>460</v>
      </c>
      <c r="E37" s="226" t="s">
        <v>335</v>
      </c>
      <c r="F37" s="226"/>
      <c r="G37" s="184" t="s">
        <v>374</v>
      </c>
      <c r="H37" s="227" t="s">
        <v>155</v>
      </c>
      <c r="I37" s="227" t="s">
        <v>33</v>
      </c>
      <c r="J37" s="227" t="s">
        <v>35</v>
      </c>
      <c r="K37" s="227" t="s">
        <v>35</v>
      </c>
      <c r="L37" s="227" t="s">
        <v>36</v>
      </c>
      <c r="M37" s="284" t="s">
        <v>36</v>
      </c>
      <c r="N37" s="184" t="s">
        <v>459</v>
      </c>
      <c r="O37" s="232">
        <v>1000000</v>
      </c>
      <c r="P37" s="226">
        <v>125</v>
      </c>
      <c r="Q37" s="233">
        <v>0.1</v>
      </c>
      <c r="R37" s="197">
        <f t="shared" si="12"/>
        <v>100000</v>
      </c>
      <c r="S37" s="182">
        <f t="shared" si="13"/>
        <v>12.5</v>
      </c>
      <c r="T37" s="193">
        <f t="shared" si="14"/>
        <v>0</v>
      </c>
      <c r="U37" s="193">
        <f t="shared" si="15"/>
        <v>0.1</v>
      </c>
      <c r="V37" s="194">
        <f t="shared" si="16"/>
        <v>2.8867513459481291E-2</v>
      </c>
      <c r="W37" s="195">
        <f t="shared" si="17"/>
        <v>80.693666666666672</v>
      </c>
      <c r="X37" s="195">
        <f t="shared" si="18"/>
        <v>83.933333333333337</v>
      </c>
      <c r="Y37" s="195">
        <f t="shared" si="19"/>
        <v>88</v>
      </c>
      <c r="Z37" s="168"/>
      <c r="AA37" s="11"/>
      <c r="AF37" s="161">
        <v>81</v>
      </c>
      <c r="AG37" s="161"/>
      <c r="AN37" s="195">
        <f t="shared" si="20"/>
        <v>80.693666666666672</v>
      </c>
    </row>
    <row r="38" spans="1:40" s="2" customFormat="1" ht="30" x14ac:dyDescent="0.25">
      <c r="A38" s="223" t="s">
        <v>481</v>
      </c>
      <c r="B38" s="216">
        <v>4559</v>
      </c>
      <c r="C38" s="187" t="s">
        <v>61</v>
      </c>
      <c r="D38" s="230" t="s">
        <v>461</v>
      </c>
      <c r="E38" s="226" t="s">
        <v>335</v>
      </c>
      <c r="F38" s="226"/>
      <c r="G38" s="184" t="s">
        <v>374</v>
      </c>
      <c r="H38" s="227" t="s">
        <v>36</v>
      </c>
      <c r="I38" s="227" t="s">
        <v>36</v>
      </c>
      <c r="J38" s="227" t="s">
        <v>35</v>
      </c>
      <c r="K38" s="227" t="s">
        <v>35</v>
      </c>
      <c r="L38" s="227" t="s">
        <v>35</v>
      </c>
      <c r="M38" s="284" t="s">
        <v>36</v>
      </c>
      <c r="N38" s="184" t="s">
        <v>459</v>
      </c>
      <c r="O38" s="232">
        <v>520000</v>
      </c>
      <c r="P38" s="226">
        <v>65</v>
      </c>
      <c r="Q38" s="233">
        <v>0.25</v>
      </c>
      <c r="R38" s="197">
        <f t="shared" si="12"/>
        <v>130000</v>
      </c>
      <c r="S38" s="182">
        <f t="shared" si="13"/>
        <v>16.25</v>
      </c>
      <c r="T38" s="193">
        <f t="shared" si="14"/>
        <v>0.1</v>
      </c>
      <c r="U38" s="193">
        <f t="shared" si="15"/>
        <v>0.25</v>
      </c>
      <c r="V38" s="194">
        <f t="shared" si="16"/>
        <v>4.3301270189221933E-2</v>
      </c>
      <c r="W38" s="195">
        <f t="shared" si="17"/>
        <v>114.94105999999999</v>
      </c>
      <c r="X38" s="195">
        <f t="shared" si="18"/>
        <v>117.468</v>
      </c>
      <c r="Y38" s="195">
        <f t="shared" si="19"/>
        <v>120.64</v>
      </c>
      <c r="Z38" s="168"/>
      <c r="AA38" s="11"/>
      <c r="AF38" s="161">
        <v>115</v>
      </c>
      <c r="AG38" s="161"/>
      <c r="AN38" s="195">
        <f t="shared" si="20"/>
        <v>114.94105999999999</v>
      </c>
    </row>
    <row r="39" spans="1:40" s="2" customFormat="1" ht="30" x14ac:dyDescent="0.25">
      <c r="A39" s="223" t="s">
        <v>482</v>
      </c>
      <c r="B39" s="216">
        <v>4560</v>
      </c>
      <c r="C39" s="187" t="s">
        <v>61</v>
      </c>
      <c r="D39" s="230" t="s">
        <v>462</v>
      </c>
      <c r="E39" s="226" t="s">
        <v>364</v>
      </c>
      <c r="F39" s="226"/>
      <c r="G39" s="184" t="s">
        <v>374</v>
      </c>
      <c r="H39" s="227" t="s">
        <v>155</v>
      </c>
      <c r="I39" s="227" t="s">
        <v>34</v>
      </c>
      <c r="J39" s="227" t="s">
        <v>35</v>
      </c>
      <c r="K39" s="227" t="s">
        <v>35</v>
      </c>
      <c r="L39" s="227" t="s">
        <v>35</v>
      </c>
      <c r="M39" s="284" t="s">
        <v>36</v>
      </c>
      <c r="N39" s="184" t="s">
        <v>459</v>
      </c>
      <c r="O39" s="232">
        <v>2000000</v>
      </c>
      <c r="P39" s="226">
        <v>250</v>
      </c>
      <c r="Q39" s="233">
        <v>0.05</v>
      </c>
      <c r="R39" s="197">
        <f t="shared" si="12"/>
        <v>100000</v>
      </c>
      <c r="S39" s="182">
        <f t="shared" si="13"/>
        <v>12.5</v>
      </c>
      <c r="T39" s="193">
        <f t="shared" si="14"/>
        <v>0</v>
      </c>
      <c r="U39" s="193">
        <f t="shared" si="15"/>
        <v>0.1</v>
      </c>
      <c r="V39" s="194">
        <f t="shared" si="16"/>
        <v>2.8867513459481291E-2</v>
      </c>
      <c r="W39" s="195">
        <f t="shared" si="17"/>
        <v>128.054</v>
      </c>
      <c r="X39" s="195">
        <f t="shared" si="18"/>
        <v>134.53333333333333</v>
      </c>
      <c r="Y39" s="195">
        <f t="shared" si="19"/>
        <v>142.66666666666669</v>
      </c>
      <c r="Z39" s="168"/>
      <c r="AA39" s="11"/>
      <c r="AG39" s="161">
        <v>128</v>
      </c>
      <c r="AN39" s="195">
        <f t="shared" si="20"/>
        <v>128.054</v>
      </c>
    </row>
    <row r="40" spans="1:40" s="2" customFormat="1" ht="45" x14ac:dyDescent="0.25">
      <c r="A40" s="223" t="s">
        <v>483</v>
      </c>
      <c r="B40" s="216">
        <v>4561</v>
      </c>
      <c r="C40" s="187" t="s">
        <v>61</v>
      </c>
      <c r="D40" s="230" t="s">
        <v>463</v>
      </c>
      <c r="E40" s="226" t="s">
        <v>365</v>
      </c>
      <c r="F40" s="226"/>
      <c r="G40" s="184" t="s">
        <v>374</v>
      </c>
      <c r="H40" s="227" t="s">
        <v>155</v>
      </c>
      <c r="I40" s="227" t="s">
        <v>64</v>
      </c>
      <c r="J40" s="227" t="s">
        <v>64</v>
      </c>
      <c r="K40" s="227" t="s">
        <v>35</v>
      </c>
      <c r="L40" s="227" t="s">
        <v>36</v>
      </c>
      <c r="M40" s="206" t="s">
        <v>33</v>
      </c>
      <c r="N40" s="184" t="s">
        <v>459</v>
      </c>
      <c r="O40" s="232">
        <v>4500000</v>
      </c>
      <c r="P40" s="226">
        <v>500</v>
      </c>
      <c r="Q40" s="233">
        <v>0.1</v>
      </c>
      <c r="R40" s="197">
        <f t="shared" si="12"/>
        <v>450000</v>
      </c>
      <c r="S40" s="182">
        <f t="shared" si="13"/>
        <v>50</v>
      </c>
      <c r="T40" s="193">
        <f t="shared" si="14"/>
        <v>0</v>
      </c>
      <c r="U40" s="193">
        <f t="shared" si="15"/>
        <v>0.1</v>
      </c>
      <c r="V40" s="194">
        <f t="shared" si="16"/>
        <v>2.8867513459481291E-2</v>
      </c>
      <c r="W40" s="195">
        <f t="shared" si="17"/>
        <v>363.12150000000003</v>
      </c>
      <c r="X40" s="195">
        <f t="shared" si="18"/>
        <v>377.7</v>
      </c>
      <c r="Y40" s="195">
        <f t="shared" si="19"/>
        <v>396</v>
      </c>
      <c r="Z40" s="168"/>
      <c r="AA40" s="11"/>
      <c r="AH40" s="161">
        <v>363</v>
      </c>
      <c r="AN40" s="195">
        <f t="shared" si="20"/>
        <v>363.12150000000003</v>
      </c>
    </row>
    <row r="41" spans="1:40" s="2" customFormat="1" ht="45" x14ac:dyDescent="0.25">
      <c r="A41" s="223" t="s">
        <v>484</v>
      </c>
      <c r="B41" s="216">
        <v>4562</v>
      </c>
      <c r="C41" s="187" t="s">
        <v>61</v>
      </c>
      <c r="D41" s="230" t="s">
        <v>533</v>
      </c>
      <c r="E41" s="226" t="s">
        <v>335</v>
      </c>
      <c r="F41" s="231">
        <v>200000</v>
      </c>
      <c r="G41" s="184" t="s">
        <v>374</v>
      </c>
      <c r="H41" s="227" t="s">
        <v>155</v>
      </c>
      <c r="I41" s="227" t="s">
        <v>33</v>
      </c>
      <c r="J41" s="227" t="s">
        <v>34</v>
      </c>
      <c r="K41" s="227" t="s">
        <v>35</v>
      </c>
      <c r="L41" s="227" t="s">
        <v>36</v>
      </c>
      <c r="M41" s="284" t="s">
        <v>36</v>
      </c>
      <c r="N41" s="184" t="s">
        <v>459</v>
      </c>
      <c r="O41" s="232">
        <v>1500000</v>
      </c>
      <c r="P41" s="226">
        <v>125</v>
      </c>
      <c r="Q41" s="233">
        <v>0.1</v>
      </c>
      <c r="R41" s="197">
        <f t="shared" si="12"/>
        <v>150000</v>
      </c>
      <c r="S41" s="182">
        <f t="shared" si="13"/>
        <v>12.5</v>
      </c>
      <c r="T41" s="193">
        <f t="shared" si="14"/>
        <v>0</v>
      </c>
      <c r="U41" s="193">
        <f t="shared" si="15"/>
        <v>0.1</v>
      </c>
      <c r="V41" s="194">
        <f t="shared" si="16"/>
        <v>2.8867513459481291E-2</v>
      </c>
      <c r="W41" s="195">
        <f t="shared" si="17"/>
        <v>121.04049999999999</v>
      </c>
      <c r="X41" s="195">
        <f t="shared" si="18"/>
        <v>125.9</v>
      </c>
      <c r="Y41" s="195">
        <f t="shared" si="19"/>
        <v>132</v>
      </c>
      <c r="Z41" s="168"/>
      <c r="AA41" s="11"/>
      <c r="AF41" s="161">
        <v>121</v>
      </c>
      <c r="AG41" s="161"/>
      <c r="AN41" s="195">
        <f t="shared" si="20"/>
        <v>121.04049999999999</v>
      </c>
    </row>
    <row r="42" spans="1:40" s="2" customFormat="1" ht="50.25" customHeight="1" x14ac:dyDescent="0.25">
      <c r="A42" s="223" t="s">
        <v>485</v>
      </c>
      <c r="B42" s="216">
        <v>4563</v>
      </c>
      <c r="C42" s="187" t="s">
        <v>61</v>
      </c>
      <c r="D42" s="230" t="s">
        <v>460</v>
      </c>
      <c r="E42" s="226" t="s">
        <v>365</v>
      </c>
      <c r="F42" s="226"/>
      <c r="G42" s="184" t="s">
        <v>374</v>
      </c>
      <c r="H42" s="227" t="s">
        <v>155</v>
      </c>
      <c r="I42" s="227" t="s">
        <v>33</v>
      </c>
      <c r="J42" s="227" t="s">
        <v>35</v>
      </c>
      <c r="K42" s="227" t="s">
        <v>35</v>
      </c>
      <c r="L42" s="227" t="s">
        <v>36</v>
      </c>
      <c r="M42" s="284" t="s">
        <v>36</v>
      </c>
      <c r="N42" s="184" t="s">
        <v>459</v>
      </c>
      <c r="O42" s="232">
        <v>1000000</v>
      </c>
      <c r="P42" s="226">
        <v>125</v>
      </c>
      <c r="Q42" s="233">
        <v>0.1</v>
      </c>
      <c r="R42" s="197">
        <f t="shared" si="12"/>
        <v>100000</v>
      </c>
      <c r="S42" s="182">
        <f t="shared" si="13"/>
        <v>12.5</v>
      </c>
      <c r="T42" s="193">
        <f t="shared" si="14"/>
        <v>0</v>
      </c>
      <c r="U42" s="193">
        <f t="shared" si="15"/>
        <v>0.1</v>
      </c>
      <c r="V42" s="194">
        <f t="shared" si="16"/>
        <v>2.8867513459481291E-2</v>
      </c>
      <c r="W42" s="195">
        <f t="shared" si="17"/>
        <v>80.693666666666672</v>
      </c>
      <c r="X42" s="195">
        <f t="shared" si="18"/>
        <v>83.933333333333337</v>
      </c>
      <c r="Y42" s="195">
        <f t="shared" si="19"/>
        <v>88</v>
      </c>
      <c r="Z42" s="168"/>
      <c r="AA42" s="11"/>
      <c r="AH42" s="161">
        <v>81</v>
      </c>
      <c r="AN42" s="195">
        <f t="shared" si="20"/>
        <v>80.693666666666672</v>
      </c>
    </row>
    <row r="43" spans="1:40" s="2" customFormat="1" ht="30" x14ac:dyDescent="0.25">
      <c r="A43" s="223" t="s">
        <v>486</v>
      </c>
      <c r="B43" s="216">
        <v>4564</v>
      </c>
      <c r="C43" s="187" t="s">
        <v>61</v>
      </c>
      <c r="D43" s="225" t="s">
        <v>461</v>
      </c>
      <c r="E43" s="226" t="s">
        <v>335</v>
      </c>
      <c r="F43" s="226"/>
      <c r="G43" s="184" t="s">
        <v>374</v>
      </c>
      <c r="H43" s="227" t="s">
        <v>36</v>
      </c>
      <c r="I43" s="227" t="s">
        <v>36</v>
      </c>
      <c r="J43" s="227" t="s">
        <v>35</v>
      </c>
      <c r="K43" s="227" t="s">
        <v>35</v>
      </c>
      <c r="L43" s="227" t="s">
        <v>35</v>
      </c>
      <c r="M43" s="284" t="s">
        <v>36</v>
      </c>
      <c r="N43" s="184" t="s">
        <v>459</v>
      </c>
      <c r="O43" s="232">
        <v>520000</v>
      </c>
      <c r="P43" s="226">
        <v>65</v>
      </c>
      <c r="Q43" s="233">
        <v>0.25</v>
      </c>
      <c r="R43" s="197">
        <f t="shared" si="12"/>
        <v>130000</v>
      </c>
      <c r="S43" s="182">
        <f t="shared" si="13"/>
        <v>16.25</v>
      </c>
      <c r="T43" s="193">
        <f t="shared" si="14"/>
        <v>0.1</v>
      </c>
      <c r="U43" s="193">
        <f t="shared" si="15"/>
        <v>0.25</v>
      </c>
      <c r="V43" s="193">
        <f t="shared" si="16"/>
        <v>4.3301270189221933E-2</v>
      </c>
      <c r="W43" s="195">
        <f t="shared" si="17"/>
        <v>114.94105999999999</v>
      </c>
      <c r="X43" s="195">
        <f t="shared" si="18"/>
        <v>117.468</v>
      </c>
      <c r="Y43" s="195">
        <f t="shared" si="19"/>
        <v>120.64</v>
      </c>
      <c r="Z43" s="168"/>
      <c r="AA43" s="12"/>
      <c r="AF43" s="161">
        <v>115</v>
      </c>
      <c r="AG43" s="161"/>
      <c r="AN43" s="195">
        <f t="shared" si="20"/>
        <v>114.94105999999999</v>
      </c>
    </row>
    <row r="44" spans="1:40" s="2" customFormat="1" ht="30" x14ac:dyDescent="0.25">
      <c r="A44" s="223" t="s">
        <v>487</v>
      </c>
      <c r="B44" s="216">
        <v>4565</v>
      </c>
      <c r="C44" s="187" t="s">
        <v>61</v>
      </c>
      <c r="D44" s="230" t="s">
        <v>462</v>
      </c>
      <c r="E44" s="226" t="s">
        <v>365</v>
      </c>
      <c r="F44" s="226"/>
      <c r="G44" s="184" t="s">
        <v>374</v>
      </c>
      <c r="H44" s="227" t="s">
        <v>155</v>
      </c>
      <c r="I44" s="227" t="s">
        <v>34</v>
      </c>
      <c r="J44" s="227" t="s">
        <v>35</v>
      </c>
      <c r="K44" s="227" t="s">
        <v>35</v>
      </c>
      <c r="L44" s="227" t="s">
        <v>35</v>
      </c>
      <c r="M44" s="284" t="s">
        <v>36</v>
      </c>
      <c r="N44" s="184" t="s">
        <v>459</v>
      </c>
      <c r="O44" s="232">
        <v>2000000</v>
      </c>
      <c r="P44" s="226">
        <v>250</v>
      </c>
      <c r="Q44" s="233">
        <v>0.05</v>
      </c>
      <c r="R44" s="197">
        <f t="shared" si="12"/>
        <v>100000</v>
      </c>
      <c r="S44" s="182">
        <f t="shared" si="13"/>
        <v>12.5</v>
      </c>
      <c r="T44" s="193">
        <f t="shared" si="14"/>
        <v>0</v>
      </c>
      <c r="U44" s="193">
        <f t="shared" si="15"/>
        <v>0.1</v>
      </c>
      <c r="V44" s="193">
        <f t="shared" si="16"/>
        <v>2.8867513459481291E-2</v>
      </c>
      <c r="W44" s="195">
        <f t="shared" si="17"/>
        <v>128.054</v>
      </c>
      <c r="X44" s="195">
        <f t="shared" si="18"/>
        <v>134.53333333333333</v>
      </c>
      <c r="Y44" s="195">
        <f t="shared" si="19"/>
        <v>142.66666666666669</v>
      </c>
      <c r="Z44" s="217"/>
      <c r="AA44" s="11"/>
      <c r="AH44" s="161">
        <v>128</v>
      </c>
      <c r="AN44" s="195">
        <f t="shared" si="20"/>
        <v>128.054</v>
      </c>
    </row>
    <row r="45" spans="1:40" ht="45" x14ac:dyDescent="0.25">
      <c r="A45" s="223" t="s">
        <v>488</v>
      </c>
      <c r="B45" s="216">
        <v>4566</v>
      </c>
      <c r="C45" s="187" t="s">
        <v>61</v>
      </c>
      <c r="D45" s="230" t="s">
        <v>463</v>
      </c>
      <c r="E45" s="226" t="s">
        <v>365</v>
      </c>
      <c r="F45" s="226"/>
      <c r="G45" s="184" t="s">
        <v>374</v>
      </c>
      <c r="H45" s="227" t="s">
        <v>155</v>
      </c>
      <c r="I45" s="227" t="s">
        <v>64</v>
      </c>
      <c r="J45" s="227" t="s">
        <v>64</v>
      </c>
      <c r="K45" s="227" t="s">
        <v>35</v>
      </c>
      <c r="L45" s="227" t="s">
        <v>35</v>
      </c>
      <c r="M45" s="206" t="s">
        <v>33</v>
      </c>
      <c r="N45" s="184" t="s">
        <v>459</v>
      </c>
      <c r="O45" s="232">
        <v>4500000</v>
      </c>
      <c r="P45" s="226">
        <v>500</v>
      </c>
      <c r="Q45" s="233">
        <v>0.05</v>
      </c>
      <c r="R45" s="197">
        <f t="shared" si="12"/>
        <v>225000</v>
      </c>
      <c r="S45" s="182">
        <f t="shared" si="13"/>
        <v>25</v>
      </c>
      <c r="T45" s="193">
        <f t="shared" si="14"/>
        <v>0</v>
      </c>
      <c r="U45" s="193">
        <f t="shared" si="15"/>
        <v>0.1</v>
      </c>
      <c r="V45" s="193">
        <f t="shared" si="16"/>
        <v>2.8867513459481291E-2</v>
      </c>
      <c r="W45" s="195">
        <f t="shared" si="17"/>
        <v>288.12150000000003</v>
      </c>
      <c r="X45" s="195">
        <f t="shared" si="18"/>
        <v>302.7</v>
      </c>
      <c r="Y45" s="195">
        <f t="shared" si="19"/>
        <v>321</v>
      </c>
      <c r="AE45" s="361"/>
      <c r="AF45" s="361"/>
      <c r="AG45" s="361"/>
      <c r="AH45" s="360">
        <v>288</v>
      </c>
      <c r="AN45" s="195">
        <f t="shared" si="20"/>
        <v>288.12150000000003</v>
      </c>
    </row>
    <row r="46" spans="1:40" s="2" customFormat="1" ht="38.25" customHeight="1" x14ac:dyDescent="0.25">
      <c r="A46" s="223" t="s">
        <v>489</v>
      </c>
      <c r="B46" s="216">
        <v>4567</v>
      </c>
      <c r="C46" s="187" t="s">
        <v>61</v>
      </c>
      <c r="D46" s="230" t="s">
        <v>464</v>
      </c>
      <c r="E46" s="226" t="s">
        <v>524</v>
      </c>
      <c r="F46" s="226"/>
      <c r="G46" s="184" t="s">
        <v>374</v>
      </c>
      <c r="H46" s="227" t="s">
        <v>36</v>
      </c>
      <c r="I46" s="227" t="s">
        <v>36</v>
      </c>
      <c r="J46" s="227" t="s">
        <v>35</v>
      </c>
      <c r="K46" s="227" t="s">
        <v>35</v>
      </c>
      <c r="L46" s="227" t="s">
        <v>35</v>
      </c>
      <c r="M46" s="284" t="s">
        <v>36</v>
      </c>
      <c r="N46" s="184" t="s">
        <v>459</v>
      </c>
      <c r="O46" s="232">
        <v>520000</v>
      </c>
      <c r="P46" s="226">
        <v>65</v>
      </c>
      <c r="Q46" s="233">
        <v>0.15</v>
      </c>
      <c r="R46" s="197">
        <f t="shared" si="12"/>
        <v>78000</v>
      </c>
      <c r="S46" s="182">
        <f t="shared" si="13"/>
        <v>9.75</v>
      </c>
      <c r="T46" s="193">
        <f t="shared" si="14"/>
        <v>0.1</v>
      </c>
      <c r="U46" s="193">
        <f t="shared" si="15"/>
        <v>0.25</v>
      </c>
      <c r="V46" s="194">
        <f t="shared" si="16"/>
        <v>4.3301270189221933E-2</v>
      </c>
      <c r="W46" s="195">
        <f t="shared" si="17"/>
        <v>97.607726666666665</v>
      </c>
      <c r="X46" s="195">
        <f t="shared" si="18"/>
        <v>100.13466666666667</v>
      </c>
      <c r="Y46" s="195">
        <f t="shared" si="19"/>
        <v>103.30666666666667</v>
      </c>
      <c r="Z46" s="168"/>
      <c r="AA46" s="11"/>
      <c r="AE46" s="362">
        <v>98</v>
      </c>
      <c r="AF46" s="362"/>
      <c r="AG46" s="161"/>
      <c r="AN46" s="195">
        <f t="shared" si="20"/>
        <v>97.607726666666665</v>
      </c>
    </row>
    <row r="47" spans="1:40" s="127" customFormat="1" ht="38.25" customHeight="1" x14ac:dyDescent="0.25">
      <c r="A47" s="223" t="s">
        <v>490</v>
      </c>
      <c r="B47" s="216">
        <v>4568</v>
      </c>
      <c r="C47" s="187" t="s">
        <v>61</v>
      </c>
      <c r="D47" s="230" t="s">
        <v>532</v>
      </c>
      <c r="E47" s="226" t="s">
        <v>616</v>
      </c>
      <c r="F47" s="234">
        <v>200000</v>
      </c>
      <c r="G47" s="235" t="s">
        <v>374</v>
      </c>
      <c r="H47" s="227" t="s">
        <v>33</v>
      </c>
      <c r="I47" s="227" t="s">
        <v>36</v>
      </c>
      <c r="J47" s="227" t="s">
        <v>33</v>
      </c>
      <c r="K47" s="227" t="s">
        <v>35</v>
      </c>
      <c r="L47" s="227" t="s">
        <v>35</v>
      </c>
      <c r="M47" s="196" t="s">
        <v>34</v>
      </c>
      <c r="N47" s="184" t="s">
        <v>459</v>
      </c>
      <c r="O47" s="232">
        <v>620000</v>
      </c>
      <c r="P47" s="226">
        <v>65</v>
      </c>
      <c r="Q47" s="233">
        <v>0.4</v>
      </c>
      <c r="R47" s="236">
        <f t="shared" si="12"/>
        <v>248000</v>
      </c>
      <c r="S47" s="182">
        <f t="shared" si="13"/>
        <v>26</v>
      </c>
      <c r="T47" s="193">
        <f t="shared" si="14"/>
        <v>0.25</v>
      </c>
      <c r="U47" s="193">
        <f t="shared" si="15"/>
        <v>0.75</v>
      </c>
      <c r="V47" s="193">
        <f t="shared" si="16"/>
        <v>0.14433756729740646</v>
      </c>
      <c r="W47" s="195">
        <f t="shared" si="17"/>
        <v>332.81703333333331</v>
      </c>
      <c r="X47" s="195">
        <f t="shared" si="18"/>
        <v>342.86</v>
      </c>
      <c r="Y47" s="195">
        <f t="shared" si="19"/>
        <v>355.46666666666664</v>
      </c>
      <c r="Z47" s="168"/>
      <c r="AA47" s="126"/>
      <c r="AE47" s="363"/>
      <c r="AF47" s="362">
        <v>333</v>
      </c>
      <c r="AG47" s="162"/>
      <c r="AI47" s="127" t="s">
        <v>622</v>
      </c>
      <c r="AN47" s="195">
        <f t="shared" si="20"/>
        <v>332.81703333333331</v>
      </c>
    </row>
    <row r="48" spans="1:40" s="127" customFormat="1" ht="41.1" customHeight="1" x14ac:dyDescent="0.25">
      <c r="A48" s="223" t="s">
        <v>491</v>
      </c>
      <c r="B48" s="216">
        <v>4569</v>
      </c>
      <c r="C48" s="187" t="s">
        <v>61</v>
      </c>
      <c r="D48" s="230" t="s">
        <v>461</v>
      </c>
      <c r="E48" s="226" t="s">
        <v>335</v>
      </c>
      <c r="F48" s="237"/>
      <c r="G48" s="235" t="s">
        <v>374</v>
      </c>
      <c r="H48" s="227" t="s">
        <v>36</v>
      </c>
      <c r="I48" s="227" t="s">
        <v>36</v>
      </c>
      <c r="J48" s="227" t="s">
        <v>35</v>
      </c>
      <c r="K48" s="227" t="s">
        <v>35</v>
      </c>
      <c r="L48" s="227" t="s">
        <v>35</v>
      </c>
      <c r="M48" s="284" t="s">
        <v>36</v>
      </c>
      <c r="N48" s="184" t="s">
        <v>459</v>
      </c>
      <c r="O48" s="232">
        <v>350000</v>
      </c>
      <c r="P48" s="226">
        <v>42</v>
      </c>
      <c r="Q48" s="233">
        <v>0.25</v>
      </c>
      <c r="R48" s="236">
        <f t="shared" si="12"/>
        <v>87500</v>
      </c>
      <c r="S48" s="182">
        <f t="shared" si="13"/>
        <v>10.5</v>
      </c>
      <c r="T48" s="193">
        <f t="shared" si="14"/>
        <v>0.1</v>
      </c>
      <c r="U48" s="193">
        <f t="shared" si="15"/>
        <v>0.25</v>
      </c>
      <c r="V48" s="193">
        <f t="shared" si="16"/>
        <v>4.3301270189221933E-2</v>
      </c>
      <c r="W48" s="195">
        <f t="shared" si="17"/>
        <v>77.364175000000003</v>
      </c>
      <c r="X48" s="195">
        <f t="shared" si="18"/>
        <v>79.064999999999998</v>
      </c>
      <c r="Y48" s="195">
        <f t="shared" si="19"/>
        <v>81.2</v>
      </c>
      <c r="Z48" s="168"/>
      <c r="AA48" s="126"/>
      <c r="AE48" s="363"/>
      <c r="AF48" s="362">
        <v>77</v>
      </c>
      <c r="AG48" s="162"/>
      <c r="AN48" s="195">
        <f t="shared" si="20"/>
        <v>77.364175000000003</v>
      </c>
    </row>
    <row r="49" spans="1:40" s="127" customFormat="1" ht="38.25" customHeight="1" x14ac:dyDescent="0.25">
      <c r="A49" s="223" t="s">
        <v>492</v>
      </c>
      <c r="B49" s="216">
        <v>4570</v>
      </c>
      <c r="C49" s="187" t="s">
        <v>61</v>
      </c>
      <c r="D49" s="219" t="s">
        <v>465</v>
      </c>
      <c r="E49" s="226" t="s">
        <v>335</v>
      </c>
      <c r="F49" s="238"/>
      <c r="G49" s="235" t="s">
        <v>374</v>
      </c>
      <c r="H49" s="227" t="s">
        <v>155</v>
      </c>
      <c r="I49" s="227" t="s">
        <v>36</v>
      </c>
      <c r="J49" s="227" t="s">
        <v>33</v>
      </c>
      <c r="K49" s="227" t="s">
        <v>35</v>
      </c>
      <c r="L49" s="227" t="s">
        <v>35</v>
      </c>
      <c r="M49" s="284" t="s">
        <v>36</v>
      </c>
      <c r="N49" s="184" t="s">
        <v>459</v>
      </c>
      <c r="O49" s="232">
        <v>770000</v>
      </c>
      <c r="P49" s="226">
        <v>65</v>
      </c>
      <c r="Q49" s="233">
        <v>0.05</v>
      </c>
      <c r="R49" s="236">
        <f t="shared" si="12"/>
        <v>38500</v>
      </c>
      <c r="S49" s="182">
        <f t="shared" si="13"/>
        <v>3.25</v>
      </c>
      <c r="T49" s="193">
        <f t="shared" si="14"/>
        <v>0</v>
      </c>
      <c r="U49" s="193">
        <f t="shared" si="15"/>
        <v>0.1</v>
      </c>
      <c r="V49" s="193">
        <f t="shared" si="16"/>
        <v>2.8867513459481291E-2</v>
      </c>
      <c r="W49" s="195">
        <f t="shared" si="17"/>
        <v>49.300790000000006</v>
      </c>
      <c r="X49" s="195">
        <f t="shared" si="18"/>
        <v>51.795333333333346</v>
      </c>
      <c r="Y49" s="195">
        <f t="shared" si="19"/>
        <v>54.926666666666669</v>
      </c>
      <c r="Z49" s="168"/>
      <c r="AA49" s="126"/>
      <c r="AE49" s="363"/>
      <c r="AF49" s="362">
        <v>49</v>
      </c>
      <c r="AG49" s="162"/>
      <c r="AN49" s="195">
        <f t="shared" si="20"/>
        <v>49.300790000000006</v>
      </c>
    </row>
    <row r="50" spans="1:40" s="127" customFormat="1" ht="42.95" customHeight="1" x14ac:dyDescent="0.25">
      <c r="A50" s="223" t="s">
        <v>493</v>
      </c>
      <c r="B50" s="216">
        <v>4571</v>
      </c>
      <c r="C50" s="187" t="s">
        <v>61</v>
      </c>
      <c r="D50" s="219" t="s">
        <v>466</v>
      </c>
      <c r="E50" s="226" t="s">
        <v>335</v>
      </c>
      <c r="F50" s="238"/>
      <c r="G50" s="235" t="s">
        <v>374</v>
      </c>
      <c r="H50" s="227" t="s">
        <v>155</v>
      </c>
      <c r="I50" s="227" t="s">
        <v>34</v>
      </c>
      <c r="J50" s="227" t="s">
        <v>34</v>
      </c>
      <c r="K50" s="227" t="s">
        <v>35</v>
      </c>
      <c r="L50" s="227" t="s">
        <v>36</v>
      </c>
      <c r="M50" s="284" t="s">
        <v>36</v>
      </c>
      <c r="N50" s="184" t="s">
        <v>459</v>
      </c>
      <c r="O50" s="232">
        <v>2500000</v>
      </c>
      <c r="P50" s="226">
        <v>250</v>
      </c>
      <c r="Q50" s="233">
        <v>0.1</v>
      </c>
      <c r="R50" s="236">
        <f t="shared" si="12"/>
        <v>250000</v>
      </c>
      <c r="S50" s="182">
        <f t="shared" si="13"/>
        <v>25</v>
      </c>
      <c r="T50" s="193">
        <f t="shared" si="14"/>
        <v>0</v>
      </c>
      <c r="U50" s="193">
        <f t="shared" si="15"/>
        <v>0.1</v>
      </c>
      <c r="V50" s="193">
        <f t="shared" si="16"/>
        <v>2.8867513459481291E-2</v>
      </c>
      <c r="W50" s="195">
        <f t="shared" si="17"/>
        <v>201.73416666666665</v>
      </c>
      <c r="X50" s="195">
        <f t="shared" si="18"/>
        <v>209.83333333333331</v>
      </c>
      <c r="Y50" s="195">
        <f t="shared" si="19"/>
        <v>220</v>
      </c>
      <c r="Z50" s="168"/>
      <c r="AA50" s="126"/>
      <c r="AE50" s="363"/>
      <c r="AF50" s="362">
        <v>202</v>
      </c>
      <c r="AG50" s="162"/>
      <c r="AN50" s="195">
        <f t="shared" si="20"/>
        <v>201.73416666666665</v>
      </c>
    </row>
    <row r="51" spans="1:40" s="127" customFormat="1" ht="45.95" customHeight="1" x14ac:dyDescent="0.25">
      <c r="A51" s="223" t="s">
        <v>494</v>
      </c>
      <c r="B51" s="216">
        <v>4572</v>
      </c>
      <c r="C51" s="187" t="s">
        <v>61</v>
      </c>
      <c r="D51" s="219" t="s">
        <v>467</v>
      </c>
      <c r="E51" s="226" t="s">
        <v>335</v>
      </c>
      <c r="F51" s="238"/>
      <c r="G51" s="235" t="s">
        <v>374</v>
      </c>
      <c r="H51" s="227" t="s">
        <v>155</v>
      </c>
      <c r="I51" s="227" t="s">
        <v>36</v>
      </c>
      <c r="J51" s="227" t="s">
        <v>35</v>
      </c>
      <c r="K51" s="227" t="s">
        <v>35</v>
      </c>
      <c r="L51" s="227" t="s">
        <v>36</v>
      </c>
      <c r="M51" s="284" t="s">
        <v>36</v>
      </c>
      <c r="N51" s="184" t="s">
        <v>459</v>
      </c>
      <c r="O51" s="232">
        <v>520000</v>
      </c>
      <c r="P51" s="226">
        <v>65</v>
      </c>
      <c r="Q51" s="233">
        <v>0.1</v>
      </c>
      <c r="R51" s="236">
        <f t="shared" si="12"/>
        <v>52000</v>
      </c>
      <c r="S51" s="182">
        <f t="shared" si="13"/>
        <v>6.5</v>
      </c>
      <c r="T51" s="193">
        <f t="shared" si="14"/>
        <v>0</v>
      </c>
      <c r="U51" s="193">
        <f t="shared" si="15"/>
        <v>0.1</v>
      </c>
      <c r="V51" s="193">
        <f t="shared" si="16"/>
        <v>2.8867513459481291E-2</v>
      </c>
      <c r="W51" s="195">
        <f t="shared" si="17"/>
        <v>41.960706666666667</v>
      </c>
      <c r="X51" s="195">
        <f t="shared" si="18"/>
        <v>43.645333333333326</v>
      </c>
      <c r="Y51" s="195">
        <f t="shared" si="19"/>
        <v>45.76</v>
      </c>
      <c r="Z51" s="168"/>
      <c r="AA51" s="126"/>
      <c r="AE51" s="363"/>
      <c r="AF51" s="362">
        <v>42</v>
      </c>
      <c r="AG51" s="162"/>
      <c r="AN51" s="195">
        <f t="shared" si="20"/>
        <v>41.960706666666667</v>
      </c>
    </row>
    <row r="52" spans="1:40" s="127" customFormat="1" ht="44.1" customHeight="1" x14ac:dyDescent="0.25">
      <c r="A52" s="223" t="s">
        <v>495</v>
      </c>
      <c r="B52" s="216">
        <v>4573</v>
      </c>
      <c r="C52" s="187" t="s">
        <v>61</v>
      </c>
      <c r="D52" s="219" t="s">
        <v>468</v>
      </c>
      <c r="E52" s="226" t="s">
        <v>365</v>
      </c>
      <c r="F52" s="238"/>
      <c r="G52" s="235" t="s">
        <v>374</v>
      </c>
      <c r="H52" s="227" t="s">
        <v>155</v>
      </c>
      <c r="I52" s="227" t="s">
        <v>34</v>
      </c>
      <c r="J52" s="227" t="s">
        <v>34</v>
      </c>
      <c r="K52" s="227" t="s">
        <v>35</v>
      </c>
      <c r="L52" s="227" t="s">
        <v>36</v>
      </c>
      <c r="M52" s="284" t="s">
        <v>36</v>
      </c>
      <c r="N52" s="184" t="s">
        <v>459</v>
      </c>
      <c r="O52" s="232">
        <v>2500000</v>
      </c>
      <c r="P52" s="226">
        <v>250</v>
      </c>
      <c r="Q52" s="233">
        <v>0.1</v>
      </c>
      <c r="R52" s="236">
        <f t="shared" si="12"/>
        <v>250000</v>
      </c>
      <c r="S52" s="182">
        <f t="shared" si="13"/>
        <v>25</v>
      </c>
      <c r="T52" s="193">
        <f t="shared" si="14"/>
        <v>0</v>
      </c>
      <c r="U52" s="193">
        <f t="shared" si="15"/>
        <v>0.1</v>
      </c>
      <c r="V52" s="193">
        <f t="shared" si="16"/>
        <v>2.8867513459481291E-2</v>
      </c>
      <c r="W52" s="195">
        <f t="shared" si="17"/>
        <v>201.73416666666665</v>
      </c>
      <c r="X52" s="195">
        <f t="shared" si="18"/>
        <v>209.83333333333331</v>
      </c>
      <c r="Y52" s="195">
        <f t="shared" si="19"/>
        <v>220</v>
      </c>
      <c r="Z52" s="168"/>
      <c r="AA52" s="126"/>
      <c r="AC52" s="363"/>
      <c r="AD52" s="363"/>
      <c r="AE52" s="363"/>
      <c r="AF52" s="363"/>
      <c r="AG52" s="363"/>
      <c r="AH52" s="362">
        <v>202</v>
      </c>
      <c r="AI52" s="363"/>
      <c r="AJ52" s="363"/>
      <c r="AK52" s="363"/>
      <c r="AN52" s="195">
        <f t="shared" si="20"/>
        <v>201.73416666666665</v>
      </c>
    </row>
    <row r="53" spans="1:40" s="127" customFormat="1" ht="60" x14ac:dyDescent="0.25">
      <c r="A53" s="223" t="s">
        <v>496</v>
      </c>
      <c r="B53" s="239">
        <v>4574</v>
      </c>
      <c r="C53" s="187" t="s">
        <v>61</v>
      </c>
      <c r="D53" s="230" t="s">
        <v>469</v>
      </c>
      <c r="E53" s="226" t="s">
        <v>525</v>
      </c>
      <c r="F53" s="237"/>
      <c r="G53" s="184" t="s">
        <v>374</v>
      </c>
      <c r="H53" s="227" t="s">
        <v>36</v>
      </c>
      <c r="I53" s="227" t="s">
        <v>33</v>
      </c>
      <c r="J53" s="227" t="s">
        <v>64</v>
      </c>
      <c r="K53" s="227" t="s">
        <v>35</v>
      </c>
      <c r="L53" s="227" t="s">
        <v>35</v>
      </c>
      <c r="M53" s="206" t="s">
        <v>33</v>
      </c>
      <c r="N53" s="184" t="s">
        <v>459</v>
      </c>
      <c r="O53" s="232">
        <v>2000000</v>
      </c>
      <c r="P53" s="226">
        <v>125</v>
      </c>
      <c r="Q53" s="233">
        <v>0.25</v>
      </c>
      <c r="R53" s="236">
        <f t="shared" si="12"/>
        <v>500000</v>
      </c>
      <c r="S53" s="182">
        <f t="shared" si="13"/>
        <v>31.25</v>
      </c>
      <c r="T53" s="193">
        <f t="shared" si="14"/>
        <v>0.1</v>
      </c>
      <c r="U53" s="193">
        <f t="shared" si="15"/>
        <v>0.25</v>
      </c>
      <c r="V53" s="193">
        <f t="shared" si="16"/>
        <v>4.3301270189221933E-2</v>
      </c>
      <c r="W53" s="195">
        <f t="shared" si="17"/>
        <v>442.08100000000002</v>
      </c>
      <c r="X53" s="195">
        <f t="shared" si="18"/>
        <v>451.8</v>
      </c>
      <c r="Y53" s="195">
        <f t="shared" si="19"/>
        <v>464</v>
      </c>
      <c r="Z53" s="168"/>
      <c r="AA53" s="126"/>
      <c r="AC53" s="363"/>
      <c r="AD53" s="362">
        <v>442</v>
      </c>
      <c r="AE53" s="362"/>
      <c r="AF53" s="362"/>
      <c r="AG53" s="362"/>
      <c r="AH53" s="363"/>
      <c r="AI53" s="363" t="s">
        <v>623</v>
      </c>
      <c r="AJ53" s="363"/>
      <c r="AK53" s="363"/>
      <c r="AN53" s="195">
        <f t="shared" si="20"/>
        <v>442.08100000000002</v>
      </c>
    </row>
    <row r="54" spans="1:40" s="2" customFormat="1" ht="45" x14ac:dyDescent="0.25">
      <c r="A54" s="223" t="s">
        <v>497</v>
      </c>
      <c r="B54" s="216">
        <v>4575</v>
      </c>
      <c r="C54" s="187" t="s">
        <v>61</v>
      </c>
      <c r="D54" s="230" t="s">
        <v>470</v>
      </c>
      <c r="E54" s="226" t="s">
        <v>514</v>
      </c>
      <c r="F54" s="226"/>
      <c r="G54" s="184" t="s">
        <v>374</v>
      </c>
      <c r="H54" s="227" t="s">
        <v>36</v>
      </c>
      <c r="I54" s="227" t="s">
        <v>33</v>
      </c>
      <c r="J54" s="227" t="s">
        <v>35</v>
      </c>
      <c r="K54" s="227" t="s">
        <v>35</v>
      </c>
      <c r="L54" s="227" t="s">
        <v>35</v>
      </c>
      <c r="M54" s="206" t="s">
        <v>33</v>
      </c>
      <c r="N54" s="184" t="s">
        <v>459</v>
      </c>
      <c r="O54" s="232">
        <v>1000000</v>
      </c>
      <c r="P54" s="226">
        <v>125</v>
      </c>
      <c r="Q54" s="233">
        <v>0.25</v>
      </c>
      <c r="R54" s="240">
        <f t="shared" si="12"/>
        <v>250000</v>
      </c>
      <c r="S54" s="182">
        <f t="shared" si="13"/>
        <v>31.25</v>
      </c>
      <c r="T54" s="193">
        <f t="shared" si="14"/>
        <v>0.1</v>
      </c>
      <c r="U54" s="193">
        <f t="shared" si="15"/>
        <v>0.25</v>
      </c>
      <c r="V54" s="193">
        <f t="shared" si="16"/>
        <v>4.3301270189221933E-2</v>
      </c>
      <c r="W54" s="195">
        <f t="shared" si="17"/>
        <v>221.04050000000001</v>
      </c>
      <c r="X54" s="195">
        <f t="shared" si="18"/>
        <v>225.9</v>
      </c>
      <c r="Y54" s="195">
        <f t="shared" si="19"/>
        <v>232</v>
      </c>
      <c r="Z54" s="168"/>
      <c r="AA54" s="11"/>
      <c r="AC54" s="363"/>
      <c r="AD54" s="362">
        <v>221</v>
      </c>
      <c r="AE54" s="363"/>
      <c r="AF54" s="363"/>
      <c r="AG54" s="363"/>
      <c r="AH54" s="363"/>
      <c r="AI54" s="363"/>
      <c r="AJ54" s="363"/>
      <c r="AK54" s="363"/>
      <c r="AN54" s="195">
        <f t="shared" si="20"/>
        <v>221.04050000000001</v>
      </c>
    </row>
    <row r="55" spans="1:40" s="2" customFormat="1" ht="60" x14ac:dyDescent="0.25">
      <c r="A55" s="223" t="s">
        <v>498</v>
      </c>
      <c r="B55" s="216">
        <v>4576</v>
      </c>
      <c r="C55" s="187" t="s">
        <v>61</v>
      </c>
      <c r="D55" s="230" t="s">
        <v>471</v>
      </c>
      <c r="E55" s="226" t="s">
        <v>335</v>
      </c>
      <c r="F55" s="226"/>
      <c r="G55" s="184" t="s">
        <v>374</v>
      </c>
      <c r="H55" s="227" t="s">
        <v>36</v>
      </c>
      <c r="I55" s="227" t="s">
        <v>33</v>
      </c>
      <c r="J55" s="227" t="s">
        <v>35</v>
      </c>
      <c r="K55" s="227" t="s">
        <v>35</v>
      </c>
      <c r="L55" s="227" t="s">
        <v>35</v>
      </c>
      <c r="M55" s="206" t="s">
        <v>33</v>
      </c>
      <c r="N55" s="184" t="s">
        <v>459</v>
      </c>
      <c r="O55" s="232">
        <v>1000000</v>
      </c>
      <c r="P55" s="226">
        <v>125</v>
      </c>
      <c r="Q55" s="233">
        <v>0.25</v>
      </c>
      <c r="R55" s="197">
        <f t="shared" si="12"/>
        <v>250000</v>
      </c>
      <c r="S55" s="182">
        <f t="shared" si="13"/>
        <v>31.25</v>
      </c>
      <c r="T55" s="193">
        <f t="shared" si="14"/>
        <v>0.1</v>
      </c>
      <c r="U55" s="193">
        <f t="shared" si="15"/>
        <v>0.25</v>
      </c>
      <c r="V55" s="194">
        <f t="shared" si="16"/>
        <v>4.3301270189221933E-2</v>
      </c>
      <c r="W55" s="195">
        <f t="shared" si="17"/>
        <v>221.04050000000001</v>
      </c>
      <c r="X55" s="195">
        <f t="shared" si="18"/>
        <v>225.9</v>
      </c>
      <c r="Y55" s="195">
        <f t="shared" si="19"/>
        <v>232</v>
      </c>
      <c r="Z55" s="168"/>
      <c r="AA55" s="11"/>
      <c r="AC55" s="363"/>
      <c r="AD55" s="363"/>
      <c r="AE55" s="363"/>
      <c r="AF55" s="362">
        <v>221</v>
      </c>
      <c r="AG55" s="362"/>
      <c r="AH55" s="363"/>
      <c r="AI55" s="363"/>
      <c r="AJ55" s="363"/>
      <c r="AK55" s="363"/>
      <c r="AN55" s="195">
        <f t="shared" si="20"/>
        <v>221.04050000000001</v>
      </c>
    </row>
    <row r="56" spans="1:40" s="2" customFormat="1" ht="30" x14ac:dyDescent="0.25">
      <c r="A56" s="223" t="s">
        <v>499</v>
      </c>
      <c r="B56" s="216">
        <v>4577</v>
      </c>
      <c r="C56" s="187" t="s">
        <v>61</v>
      </c>
      <c r="D56" s="230" t="s">
        <v>472</v>
      </c>
      <c r="E56" s="226" t="s">
        <v>526</v>
      </c>
      <c r="F56" s="226"/>
      <c r="G56" s="184" t="s">
        <v>374</v>
      </c>
      <c r="H56" s="227" t="s">
        <v>36</v>
      </c>
      <c r="I56" s="227" t="s">
        <v>33</v>
      </c>
      <c r="J56" s="227" t="s">
        <v>35</v>
      </c>
      <c r="K56" s="227" t="s">
        <v>35</v>
      </c>
      <c r="L56" s="227" t="s">
        <v>35</v>
      </c>
      <c r="M56" s="206" t="s">
        <v>33</v>
      </c>
      <c r="N56" s="184" t="s">
        <v>459</v>
      </c>
      <c r="O56" s="232">
        <v>500000</v>
      </c>
      <c r="P56" s="226">
        <v>60</v>
      </c>
      <c r="Q56" s="241">
        <v>0.1</v>
      </c>
      <c r="R56" s="197">
        <f t="shared" si="12"/>
        <v>50000</v>
      </c>
      <c r="S56" s="182">
        <f t="shared" si="13"/>
        <v>6</v>
      </c>
      <c r="T56" s="193">
        <f t="shared" si="14"/>
        <v>0.1</v>
      </c>
      <c r="U56" s="193">
        <f t="shared" si="15"/>
        <v>0.25</v>
      </c>
      <c r="V56" s="194">
        <f t="shared" si="16"/>
        <v>4.3301270189221933E-2</v>
      </c>
      <c r="W56" s="195">
        <f t="shared" si="17"/>
        <v>85.520250000000004</v>
      </c>
      <c r="X56" s="195">
        <f t="shared" si="18"/>
        <v>87.95</v>
      </c>
      <c r="Y56" s="195">
        <f t="shared" si="19"/>
        <v>91</v>
      </c>
      <c r="Z56" s="168"/>
      <c r="AA56" s="11"/>
      <c r="AC56" s="363"/>
      <c r="AD56" s="363"/>
      <c r="AE56" s="363"/>
      <c r="AF56" s="363"/>
      <c r="AG56" s="362">
        <v>86</v>
      </c>
      <c r="AH56" s="362"/>
      <c r="AI56" s="363"/>
      <c r="AJ56" s="363"/>
      <c r="AK56" s="363"/>
      <c r="AN56" s="195">
        <f t="shared" si="20"/>
        <v>85.520250000000004</v>
      </c>
    </row>
    <row r="57" spans="1:40" s="2" customFormat="1" ht="30" x14ac:dyDescent="0.25">
      <c r="A57" s="223" t="s">
        <v>500</v>
      </c>
      <c r="B57" s="216">
        <v>4578</v>
      </c>
      <c r="C57" s="187" t="s">
        <v>61</v>
      </c>
      <c r="D57" s="230" t="s">
        <v>473</v>
      </c>
      <c r="E57" s="226" t="s">
        <v>335</v>
      </c>
      <c r="F57" s="226"/>
      <c r="G57" s="184" t="s">
        <v>374</v>
      </c>
      <c r="H57" s="227" t="s">
        <v>155</v>
      </c>
      <c r="I57" s="227" t="s">
        <v>33</v>
      </c>
      <c r="J57" s="227" t="s">
        <v>36</v>
      </c>
      <c r="K57" s="227" t="s">
        <v>35</v>
      </c>
      <c r="L57" s="227" t="s">
        <v>35</v>
      </c>
      <c r="M57" s="284" t="s">
        <v>36</v>
      </c>
      <c r="N57" s="184" t="s">
        <v>459</v>
      </c>
      <c r="O57" s="232">
        <v>1100000</v>
      </c>
      <c r="P57" s="226">
        <v>125</v>
      </c>
      <c r="Q57" s="241">
        <v>0.1</v>
      </c>
      <c r="R57" s="197">
        <f t="shared" si="12"/>
        <v>110000</v>
      </c>
      <c r="S57" s="182">
        <f t="shared" si="13"/>
        <v>12.5</v>
      </c>
      <c r="T57" s="193">
        <f t="shared" si="14"/>
        <v>0</v>
      </c>
      <c r="U57" s="193">
        <f t="shared" si="15"/>
        <v>0.1</v>
      </c>
      <c r="V57" s="194">
        <f t="shared" si="16"/>
        <v>2.8867513459481291E-2</v>
      </c>
      <c r="W57" s="195">
        <f t="shared" si="17"/>
        <v>88.763033333333325</v>
      </c>
      <c r="X57" s="195">
        <f t="shared" si="18"/>
        <v>92.326666666666654</v>
      </c>
      <c r="Y57" s="195">
        <f t="shared" si="19"/>
        <v>96.8</v>
      </c>
      <c r="Z57" s="168"/>
      <c r="AA57" s="11"/>
      <c r="AC57" s="363"/>
      <c r="AD57" s="363"/>
      <c r="AE57" s="363"/>
      <c r="AF57" s="362">
        <v>89</v>
      </c>
      <c r="AG57" s="362"/>
      <c r="AH57" s="363"/>
      <c r="AI57" s="363"/>
      <c r="AJ57" s="363"/>
      <c r="AK57" s="363"/>
      <c r="AN57" s="195">
        <f t="shared" si="20"/>
        <v>88.763033333333325</v>
      </c>
    </row>
    <row r="58" spans="1:40" s="2" customFormat="1" ht="30" x14ac:dyDescent="0.25">
      <c r="A58" s="223" t="s">
        <v>501</v>
      </c>
      <c r="B58" s="216">
        <v>4579</v>
      </c>
      <c r="C58" s="187" t="s">
        <v>61</v>
      </c>
      <c r="D58" s="230" t="s">
        <v>474</v>
      </c>
      <c r="E58" s="226" t="s">
        <v>335</v>
      </c>
      <c r="F58" s="226"/>
      <c r="G58" s="184" t="s">
        <v>374</v>
      </c>
      <c r="H58" s="227" t="s">
        <v>36</v>
      </c>
      <c r="I58" s="227" t="s">
        <v>36</v>
      </c>
      <c r="J58" s="227" t="s">
        <v>36</v>
      </c>
      <c r="K58" s="227" t="s">
        <v>35</v>
      </c>
      <c r="L58" s="227" t="s">
        <v>35</v>
      </c>
      <c r="M58" s="284" t="s">
        <v>36</v>
      </c>
      <c r="N58" s="184" t="s">
        <v>459</v>
      </c>
      <c r="O58" s="232">
        <v>620000</v>
      </c>
      <c r="P58" s="226">
        <v>65</v>
      </c>
      <c r="Q58" s="241">
        <v>0.15</v>
      </c>
      <c r="R58" s="197">
        <f t="shared" si="12"/>
        <v>93000</v>
      </c>
      <c r="S58" s="182">
        <f t="shared" si="13"/>
        <v>9.75</v>
      </c>
      <c r="T58" s="193">
        <f t="shared" si="14"/>
        <v>0.1</v>
      </c>
      <c r="U58" s="193">
        <f t="shared" si="15"/>
        <v>0.25</v>
      </c>
      <c r="V58" s="194">
        <f t="shared" si="16"/>
        <v>4.3301270189221933E-2</v>
      </c>
      <c r="W58" s="195">
        <f t="shared" si="17"/>
        <v>116.37844333333332</v>
      </c>
      <c r="X58" s="195">
        <f t="shared" si="18"/>
        <v>119.39133333333334</v>
      </c>
      <c r="Y58" s="195">
        <f t="shared" si="19"/>
        <v>123.17333333333333</v>
      </c>
      <c r="Z58" s="168"/>
      <c r="AA58" s="11"/>
      <c r="AC58" s="363"/>
      <c r="AD58" s="363"/>
      <c r="AE58" s="363"/>
      <c r="AF58" s="362">
        <v>116</v>
      </c>
      <c r="AG58" s="362"/>
      <c r="AH58" s="363"/>
      <c r="AI58" s="363"/>
      <c r="AJ58" s="363"/>
      <c r="AK58" s="363"/>
      <c r="AN58" s="195">
        <f t="shared" si="20"/>
        <v>116.37844333333332</v>
      </c>
    </row>
    <row r="59" spans="1:40" s="2" customFormat="1" ht="30" x14ac:dyDescent="0.25">
      <c r="A59" s="223" t="s">
        <v>502</v>
      </c>
      <c r="B59" s="216">
        <v>4580</v>
      </c>
      <c r="C59" s="187" t="s">
        <v>61</v>
      </c>
      <c r="D59" s="230" t="s">
        <v>475</v>
      </c>
      <c r="E59" s="226" t="s">
        <v>524</v>
      </c>
      <c r="F59" s="226"/>
      <c r="G59" s="184" t="s">
        <v>374</v>
      </c>
      <c r="H59" s="227" t="s">
        <v>36</v>
      </c>
      <c r="I59" s="227" t="s">
        <v>36</v>
      </c>
      <c r="J59" s="227" t="s">
        <v>35</v>
      </c>
      <c r="K59" s="227" t="s">
        <v>35</v>
      </c>
      <c r="L59" s="227" t="s">
        <v>35</v>
      </c>
      <c r="M59" s="284" t="s">
        <v>36</v>
      </c>
      <c r="N59" s="184" t="s">
        <v>459</v>
      </c>
      <c r="O59" s="232">
        <v>520000</v>
      </c>
      <c r="P59" s="226">
        <v>65</v>
      </c>
      <c r="Q59" s="241">
        <v>0.25</v>
      </c>
      <c r="R59" s="197">
        <f t="shared" si="12"/>
        <v>130000</v>
      </c>
      <c r="S59" s="182">
        <f t="shared" si="13"/>
        <v>16.25</v>
      </c>
      <c r="T59" s="193">
        <f t="shared" si="14"/>
        <v>0.1</v>
      </c>
      <c r="U59" s="193">
        <f t="shared" si="15"/>
        <v>0.25</v>
      </c>
      <c r="V59" s="194">
        <f t="shared" si="16"/>
        <v>4.3301270189221933E-2</v>
      </c>
      <c r="W59" s="195">
        <f t="shared" si="17"/>
        <v>114.94105999999999</v>
      </c>
      <c r="X59" s="195">
        <f t="shared" si="18"/>
        <v>117.468</v>
      </c>
      <c r="Y59" s="195">
        <f t="shared" si="19"/>
        <v>120.64</v>
      </c>
      <c r="Z59" s="168"/>
      <c r="AA59" s="11"/>
      <c r="AC59" s="363"/>
      <c r="AD59" s="363"/>
      <c r="AE59" s="362">
        <v>115</v>
      </c>
      <c r="AF59" s="362"/>
      <c r="AG59" s="362"/>
      <c r="AH59" s="363"/>
      <c r="AI59" s="363"/>
      <c r="AJ59" s="363"/>
      <c r="AK59" s="363"/>
      <c r="AN59" s="195">
        <f t="shared" si="20"/>
        <v>114.94105999999999</v>
      </c>
    </row>
    <row r="60" spans="1:40" s="2" customFormat="1" ht="30" x14ac:dyDescent="0.25">
      <c r="A60" s="223" t="s">
        <v>503</v>
      </c>
      <c r="B60" s="216">
        <v>4581</v>
      </c>
      <c r="C60" s="187" t="s">
        <v>61</v>
      </c>
      <c r="D60" s="230" t="s">
        <v>476</v>
      </c>
      <c r="E60" s="226" t="s">
        <v>524</v>
      </c>
      <c r="F60" s="226"/>
      <c r="G60" s="184" t="s">
        <v>374</v>
      </c>
      <c r="H60" s="227" t="s">
        <v>36</v>
      </c>
      <c r="I60" s="227" t="s">
        <v>36</v>
      </c>
      <c r="J60" s="227" t="s">
        <v>155</v>
      </c>
      <c r="K60" s="227" t="s">
        <v>35</v>
      </c>
      <c r="L60" s="227" t="s">
        <v>35</v>
      </c>
      <c r="M60" s="284" t="s">
        <v>36</v>
      </c>
      <c r="N60" s="184" t="s">
        <v>459</v>
      </c>
      <c r="O60" s="232">
        <v>570000</v>
      </c>
      <c r="P60" s="226">
        <v>65</v>
      </c>
      <c r="Q60" s="241">
        <v>0.15</v>
      </c>
      <c r="R60" s="197">
        <f t="shared" si="12"/>
        <v>85500</v>
      </c>
      <c r="S60" s="182">
        <f t="shared" si="13"/>
        <v>9.75</v>
      </c>
      <c r="T60" s="193">
        <f t="shared" si="14"/>
        <v>0.1</v>
      </c>
      <c r="U60" s="193">
        <f t="shared" si="15"/>
        <v>0.25</v>
      </c>
      <c r="V60" s="194">
        <f t="shared" si="16"/>
        <v>4.3301270189221933E-2</v>
      </c>
      <c r="W60" s="195">
        <f t="shared" si="17"/>
        <v>106.99308500000001</v>
      </c>
      <c r="X60" s="195">
        <f t="shared" si="18"/>
        <v>109.76300000000001</v>
      </c>
      <c r="Y60" s="195">
        <f t="shared" si="19"/>
        <v>113.24</v>
      </c>
      <c r="Z60" s="168"/>
      <c r="AA60" s="11"/>
      <c r="AC60" s="363"/>
      <c r="AD60" s="363"/>
      <c r="AE60" s="362">
        <v>107</v>
      </c>
      <c r="AF60" s="362"/>
      <c r="AG60" s="362"/>
      <c r="AH60" s="363"/>
      <c r="AI60" s="363"/>
      <c r="AJ60" s="363"/>
      <c r="AK60" s="363"/>
      <c r="AN60" s="195">
        <f t="shared" si="20"/>
        <v>106.99308500000001</v>
      </c>
    </row>
    <row r="61" spans="1:40" s="2" customFormat="1" x14ac:dyDescent="0.25">
      <c r="A61" s="223" t="s">
        <v>504</v>
      </c>
      <c r="B61" s="216">
        <v>4582</v>
      </c>
      <c r="C61" s="187" t="s">
        <v>61</v>
      </c>
      <c r="D61" s="230" t="s">
        <v>477</v>
      </c>
      <c r="E61" s="226" t="s">
        <v>527</v>
      </c>
      <c r="F61" s="226"/>
      <c r="G61" s="184" t="s">
        <v>374</v>
      </c>
      <c r="H61" s="227" t="s">
        <v>36</v>
      </c>
      <c r="I61" s="227" t="s">
        <v>33</v>
      </c>
      <c r="J61" s="227" t="s">
        <v>35</v>
      </c>
      <c r="K61" s="227" t="s">
        <v>35</v>
      </c>
      <c r="L61" s="227" t="s">
        <v>155</v>
      </c>
      <c r="M61" s="206" t="s">
        <v>33</v>
      </c>
      <c r="N61" s="184" t="s">
        <v>459</v>
      </c>
      <c r="O61" s="232">
        <v>1000000</v>
      </c>
      <c r="P61" s="226">
        <v>125</v>
      </c>
      <c r="Q61" s="241">
        <v>0.25</v>
      </c>
      <c r="R61" s="197">
        <f t="shared" si="12"/>
        <v>250000</v>
      </c>
      <c r="S61" s="182">
        <f t="shared" si="13"/>
        <v>31.25</v>
      </c>
      <c r="T61" s="193">
        <f t="shared" si="14"/>
        <v>0.1</v>
      </c>
      <c r="U61" s="193">
        <f t="shared" si="15"/>
        <v>0.25</v>
      </c>
      <c r="V61" s="194">
        <f t="shared" si="16"/>
        <v>4.3301270189221933E-2</v>
      </c>
      <c r="W61" s="195">
        <f t="shared" si="17"/>
        <v>221.04050000000001</v>
      </c>
      <c r="X61" s="195">
        <f t="shared" si="18"/>
        <v>225.9</v>
      </c>
      <c r="Y61" s="195">
        <f t="shared" si="19"/>
        <v>232</v>
      </c>
      <c r="Z61" s="168"/>
      <c r="AA61" s="11"/>
      <c r="AC61" s="363"/>
      <c r="AD61" s="363"/>
      <c r="AE61" s="363"/>
      <c r="AF61" s="363"/>
      <c r="AG61" s="362">
        <v>221</v>
      </c>
      <c r="AH61" s="363"/>
      <c r="AI61" s="363"/>
      <c r="AJ61" s="363"/>
      <c r="AK61" s="363"/>
      <c r="AN61" s="195">
        <f t="shared" si="20"/>
        <v>221.04050000000001</v>
      </c>
    </row>
    <row r="62" spans="1:40" s="2" customFormat="1" ht="30" x14ac:dyDescent="0.25">
      <c r="A62" s="223" t="s">
        <v>505</v>
      </c>
      <c r="B62" s="216">
        <v>4583</v>
      </c>
      <c r="C62" s="187" t="s">
        <v>61</v>
      </c>
      <c r="D62" s="230" t="s">
        <v>478</v>
      </c>
      <c r="E62" s="226" t="s">
        <v>335</v>
      </c>
      <c r="F62" s="226"/>
      <c r="G62" s="184" t="s">
        <v>374</v>
      </c>
      <c r="H62" s="227" t="s">
        <v>36</v>
      </c>
      <c r="I62" s="227" t="s">
        <v>36</v>
      </c>
      <c r="J62" s="227" t="s">
        <v>36</v>
      </c>
      <c r="K62" s="227" t="s">
        <v>35</v>
      </c>
      <c r="L62" s="227" t="s">
        <v>155</v>
      </c>
      <c r="M62" s="284" t="s">
        <v>36</v>
      </c>
      <c r="N62" s="184" t="s">
        <v>459</v>
      </c>
      <c r="O62" s="232">
        <v>620000</v>
      </c>
      <c r="P62" s="226">
        <v>65</v>
      </c>
      <c r="Q62" s="241">
        <v>0.25</v>
      </c>
      <c r="R62" s="197">
        <f t="shared" si="12"/>
        <v>155000</v>
      </c>
      <c r="S62" s="182">
        <f t="shared" si="13"/>
        <v>16.25</v>
      </c>
      <c r="T62" s="193">
        <f t="shared" si="14"/>
        <v>0.1</v>
      </c>
      <c r="U62" s="193">
        <f t="shared" si="15"/>
        <v>0.25</v>
      </c>
      <c r="V62" s="194">
        <f t="shared" si="16"/>
        <v>4.3301270189221933E-2</v>
      </c>
      <c r="W62" s="195">
        <f t="shared" si="17"/>
        <v>137.04510999999999</v>
      </c>
      <c r="X62" s="195">
        <f t="shared" si="18"/>
        <v>140.05799999999999</v>
      </c>
      <c r="Y62" s="195">
        <f t="shared" si="19"/>
        <v>143.84</v>
      </c>
      <c r="Z62" s="168"/>
      <c r="AA62" s="11"/>
      <c r="AC62" s="363"/>
      <c r="AD62" s="363"/>
      <c r="AE62" s="363"/>
      <c r="AF62" s="362">
        <v>137</v>
      </c>
      <c r="AG62" s="362"/>
      <c r="AH62" s="363"/>
      <c r="AI62" s="363"/>
      <c r="AJ62" s="363"/>
      <c r="AK62" s="363"/>
      <c r="AN62" s="195">
        <f t="shared" si="20"/>
        <v>137.04510999999999</v>
      </c>
    </row>
    <row r="63" spans="1:40" s="2" customFormat="1" ht="30" x14ac:dyDescent="0.25">
      <c r="A63" s="223" t="s">
        <v>506</v>
      </c>
      <c r="B63" s="285">
        <v>4584</v>
      </c>
      <c r="C63" s="187" t="s">
        <v>61</v>
      </c>
      <c r="D63" s="230" t="s">
        <v>326</v>
      </c>
      <c r="E63" s="226" t="s">
        <v>363</v>
      </c>
      <c r="F63" s="226"/>
      <c r="G63" s="184" t="s">
        <v>374</v>
      </c>
      <c r="H63" s="227" t="s">
        <v>36</v>
      </c>
      <c r="I63" s="227" t="s">
        <v>36</v>
      </c>
      <c r="J63" s="227" t="s">
        <v>36</v>
      </c>
      <c r="K63" s="227" t="s">
        <v>35</v>
      </c>
      <c r="L63" s="227" t="s">
        <v>35</v>
      </c>
      <c r="M63" s="284" t="s">
        <v>36</v>
      </c>
      <c r="N63" s="184" t="s">
        <v>459</v>
      </c>
      <c r="O63" s="232">
        <v>620000</v>
      </c>
      <c r="P63" s="226">
        <v>65</v>
      </c>
      <c r="Q63" s="241">
        <v>0.25</v>
      </c>
      <c r="R63" s="197">
        <f t="shared" si="12"/>
        <v>155000</v>
      </c>
      <c r="S63" s="182">
        <f t="shared" si="13"/>
        <v>16.25</v>
      </c>
      <c r="T63" s="193">
        <f t="shared" si="14"/>
        <v>0.1</v>
      </c>
      <c r="U63" s="193">
        <f t="shared" si="15"/>
        <v>0.25</v>
      </c>
      <c r="V63" s="194">
        <f t="shared" si="16"/>
        <v>4.3301270189221933E-2</v>
      </c>
      <c r="W63" s="195">
        <f t="shared" si="17"/>
        <v>137.04510999999999</v>
      </c>
      <c r="X63" s="195">
        <f t="shared" si="18"/>
        <v>140.05799999999999</v>
      </c>
      <c r="Y63" s="195">
        <f t="shared" si="19"/>
        <v>143.84</v>
      </c>
      <c r="Z63" s="209"/>
      <c r="AA63" s="11"/>
      <c r="AC63" s="363"/>
      <c r="AD63" s="363"/>
      <c r="AE63" s="363"/>
      <c r="AF63" s="362">
        <v>137</v>
      </c>
      <c r="AG63" s="363"/>
      <c r="AH63" s="363"/>
      <c r="AI63" s="363"/>
      <c r="AJ63" s="363"/>
      <c r="AK63" s="363"/>
      <c r="AN63" s="195">
        <f t="shared" si="20"/>
        <v>137.04510999999999</v>
      </c>
    </row>
    <row r="64" spans="1:40" x14ac:dyDescent="0.25">
      <c r="A64" s="223" t="s">
        <v>456</v>
      </c>
      <c r="AC64" s="364">
        <v>-17</v>
      </c>
      <c r="AD64" s="364"/>
      <c r="AE64" s="364"/>
      <c r="AF64" s="364"/>
      <c r="AG64" s="364"/>
      <c r="AH64" s="364"/>
      <c r="AI64" s="364" t="s">
        <v>654</v>
      </c>
      <c r="AJ64" s="364"/>
      <c r="AK64" s="364"/>
      <c r="AN64" s="168"/>
    </row>
    <row r="65" spans="1:40" s="2" customFormat="1" ht="45" x14ac:dyDescent="0.25">
      <c r="A65" s="182" t="s">
        <v>111</v>
      </c>
      <c r="B65" s="183">
        <v>3382</v>
      </c>
      <c r="C65" s="184" t="s">
        <v>61</v>
      </c>
      <c r="D65" s="242" t="s">
        <v>305</v>
      </c>
      <c r="E65" s="187" t="s">
        <v>381</v>
      </c>
      <c r="F65" s="243"/>
      <c r="G65" s="184" t="s">
        <v>374</v>
      </c>
      <c r="H65" s="184" t="s">
        <v>155</v>
      </c>
      <c r="I65" s="184" t="s">
        <v>36</v>
      </c>
      <c r="J65" s="184" t="s">
        <v>36</v>
      </c>
      <c r="K65" s="184" t="s">
        <v>35</v>
      </c>
      <c r="L65" s="184" t="s">
        <v>35</v>
      </c>
      <c r="M65" s="284" t="s">
        <v>36</v>
      </c>
      <c r="N65" s="184" t="s">
        <v>112</v>
      </c>
      <c r="O65" s="197">
        <v>50000</v>
      </c>
      <c r="P65" s="182">
        <v>30</v>
      </c>
      <c r="Q65" s="244">
        <v>0.05</v>
      </c>
      <c r="R65" s="197">
        <f>O65*Q65</f>
        <v>2500</v>
      </c>
      <c r="S65" s="182">
        <f>P65*Q65</f>
        <v>1.5</v>
      </c>
      <c r="T65" s="245">
        <f>IF(H65="VL",0,IF(H65="L",0.1,IF(H65="M",0.25,IF(H65="H",0.75,IF(H65="VH",0.9,1)))))</f>
        <v>0</v>
      </c>
      <c r="U65" s="193">
        <f>IF(H65="VL",0.1,IF(H65="L",0.25,IF(H65="M",0.75,IF(H65="H",0.9,IF(H65="VH",1,1)))))</f>
        <v>0.1</v>
      </c>
      <c r="V65" s="194">
        <f>(U65-T65)/SQRT(12)</f>
        <v>2.8867513459481291E-2</v>
      </c>
      <c r="W65" s="195">
        <f>($O65*($Q65+$T65+$U65)/3 + $O65*($U65-$T65)/6*0.84162)/1000</f>
        <v>3.2013500000000006</v>
      </c>
      <c r="X65" s="195">
        <f>($O65*($Q65+$T65+$U65)/3 + $O65*($U65-$T65)/6*1.036)/1000</f>
        <v>3.3633333333333337</v>
      </c>
      <c r="Y65" s="195">
        <f>($O65*($Q65+$T65+$U65)/3 + $O65*($U65-$T65)/6*1.28)/1000</f>
        <v>3.5666666666666669</v>
      </c>
      <c r="Z65" s="168"/>
      <c r="AA65" s="11"/>
      <c r="AC65" s="362">
        <v>3</v>
      </c>
      <c r="AD65" s="362"/>
      <c r="AE65" s="363"/>
      <c r="AF65" s="363"/>
      <c r="AG65" s="363"/>
      <c r="AH65" s="363"/>
      <c r="AI65" s="363"/>
      <c r="AJ65" s="363"/>
      <c r="AK65" s="363"/>
      <c r="AN65" s="195">
        <f>($O65*($Q65+$T65+$U65)/3 + $O65*($U65-$T65)/6*0.84162)/1000</f>
        <v>3.2013500000000006</v>
      </c>
    </row>
    <row r="66" spans="1:40" s="2" customFormat="1" ht="30" x14ac:dyDescent="0.25">
      <c r="A66" s="182" t="s">
        <v>9</v>
      </c>
      <c r="B66" s="183">
        <v>3383</v>
      </c>
      <c r="C66" s="184" t="s">
        <v>61</v>
      </c>
      <c r="D66" s="242" t="s">
        <v>441</v>
      </c>
      <c r="E66" s="187" t="s">
        <v>514</v>
      </c>
      <c r="F66" s="243"/>
      <c r="G66" s="184" t="s">
        <v>374</v>
      </c>
      <c r="H66" s="184" t="s">
        <v>36</v>
      </c>
      <c r="I66" s="184" t="s">
        <v>34</v>
      </c>
      <c r="J66" s="184" t="s">
        <v>155</v>
      </c>
      <c r="K66" s="184" t="s">
        <v>35</v>
      </c>
      <c r="L66" s="184" t="s">
        <v>35</v>
      </c>
      <c r="M66" s="206" t="s">
        <v>33</v>
      </c>
      <c r="N66" s="184" t="s">
        <v>8</v>
      </c>
      <c r="O66" s="197">
        <v>100000</v>
      </c>
      <c r="P66" s="182">
        <v>250</v>
      </c>
      <c r="Q66" s="244">
        <v>0.05</v>
      </c>
      <c r="R66" s="197">
        <f>O66*Q66</f>
        <v>5000</v>
      </c>
      <c r="S66" s="182">
        <f>P66*Q66</f>
        <v>12.5</v>
      </c>
      <c r="T66" s="193">
        <f>IF(H66="VL",0,IF(H66="L",0.1,IF(H66="M",0.25,IF(H66="H",0.75,IF(H66="VH",0.9,1)))))</f>
        <v>0.1</v>
      </c>
      <c r="U66" s="193">
        <f>IF(H66="VL",0.1,IF(H66="L",0.25,IF(H66="M",0.75,IF(H66="H",0.9,IF(H66="VH",1,1)))))</f>
        <v>0.25</v>
      </c>
      <c r="V66" s="194">
        <f>(U66-T66)/SQRT(12)</f>
        <v>4.3301270189221933E-2</v>
      </c>
      <c r="W66" s="195">
        <f>($O66*($Q66+$T66+$U66)/3 + $O66*($U66-$T66)/6*0.84162)/1000</f>
        <v>15.437383333333335</v>
      </c>
      <c r="X66" s="195">
        <f>($O66*($Q66+$T66+$U66)/3 + $O66*($U66-$T66)/6*1.036)/1000</f>
        <v>15.923333333333334</v>
      </c>
      <c r="Y66" s="195">
        <f>($O66*($Q66+$T66+$U66)/3 + $O66*($U66-$T66)/6*1.28)/1000</f>
        <v>16.533333333333335</v>
      </c>
      <c r="Z66" s="168"/>
      <c r="AA66" s="11"/>
      <c r="AC66" s="363"/>
      <c r="AD66" s="362">
        <v>15</v>
      </c>
      <c r="AE66" s="363"/>
      <c r="AF66" s="363"/>
      <c r="AG66" s="363"/>
      <c r="AH66" s="363"/>
      <c r="AI66" s="363" t="s">
        <v>624</v>
      </c>
      <c r="AJ66" s="363"/>
      <c r="AK66" s="363"/>
      <c r="AN66" s="195">
        <f>($O66*($Q66+$T66+$U66)/3 + $O66*($U66-$T66)/6*0.84162)/1000</f>
        <v>15.437383333333335</v>
      </c>
    </row>
    <row r="67" spans="1:40" s="2" customFormat="1" ht="45" x14ac:dyDescent="0.25">
      <c r="A67" s="182" t="s">
        <v>195</v>
      </c>
      <c r="B67" s="183">
        <v>3385</v>
      </c>
      <c r="C67" s="184" t="s">
        <v>61</v>
      </c>
      <c r="D67" s="242" t="s">
        <v>196</v>
      </c>
      <c r="E67" s="187" t="s">
        <v>368</v>
      </c>
      <c r="F67" s="243">
        <v>62000</v>
      </c>
      <c r="G67" s="184" t="s">
        <v>374</v>
      </c>
      <c r="H67" s="184" t="s">
        <v>36</v>
      </c>
      <c r="I67" s="184" t="s">
        <v>35</v>
      </c>
      <c r="J67" s="184" t="s">
        <v>33</v>
      </c>
      <c r="K67" s="184" t="s">
        <v>33</v>
      </c>
      <c r="L67" s="184" t="s">
        <v>35</v>
      </c>
      <c r="M67" s="206" t="s">
        <v>33</v>
      </c>
      <c r="N67" s="184" t="s">
        <v>8</v>
      </c>
      <c r="O67" s="197">
        <v>100000</v>
      </c>
      <c r="P67" s="182"/>
      <c r="Q67" s="244">
        <v>0.25</v>
      </c>
      <c r="R67" s="197">
        <f>O67*Q67</f>
        <v>25000</v>
      </c>
      <c r="S67" s="182">
        <f>P67*Q67</f>
        <v>0</v>
      </c>
      <c r="T67" s="193">
        <f>IF(H67="VL",0,IF(H67="L",0.1,IF(H67="M",0.25,IF(H67="H",0.75,IF(H67="VH",0.9,1)))))</f>
        <v>0.1</v>
      </c>
      <c r="U67" s="193">
        <f>IF(H67="VL",0.1,IF(H67="L",0.25,IF(H67="M",0.75,IF(H67="H",0.9,IF(H67="VH",1,1)))))</f>
        <v>0.25</v>
      </c>
      <c r="V67" s="194">
        <f>(U67-T67)/SQRT(12)</f>
        <v>4.3301270189221933E-2</v>
      </c>
      <c r="W67" s="195">
        <f>($O67*($Q67+$T67+$U67)/3 + $O67*($U67-$T67)/6*0.84162)/1000</f>
        <v>22.104050000000001</v>
      </c>
      <c r="X67" s="195">
        <f>($O67*($Q67+$T67+$U67)/3 + $O67*($U67-$T67)/6*1.036)/1000</f>
        <v>22.59</v>
      </c>
      <c r="Y67" s="195">
        <f>($O67*($Q67+$T67+$U67)/3 + $O67*($U67-$T67)/6*1.28)/1000</f>
        <v>23.2</v>
      </c>
      <c r="Z67" s="168"/>
      <c r="AA67" s="11"/>
      <c r="AC67" s="362">
        <v>22</v>
      </c>
      <c r="AD67" s="362"/>
      <c r="AE67" s="362"/>
      <c r="AF67" s="363"/>
      <c r="AG67" s="363"/>
      <c r="AH67" s="363"/>
      <c r="AI67" s="363"/>
      <c r="AJ67" s="363"/>
      <c r="AK67" s="363"/>
      <c r="AN67" s="195">
        <f>($O67*($Q67+$T67+$U67)/3 + $O67*($U67-$T67)/6*0.84162)/1000</f>
        <v>22.104050000000001</v>
      </c>
    </row>
    <row r="68" spans="1:40" s="2" customFormat="1" x14ac:dyDescent="0.25">
      <c r="A68" s="182" t="s">
        <v>118</v>
      </c>
      <c r="B68" s="183">
        <v>3390</v>
      </c>
      <c r="C68" s="184" t="s">
        <v>61</v>
      </c>
      <c r="D68" s="242" t="s">
        <v>119</v>
      </c>
      <c r="E68" s="187" t="s">
        <v>368</v>
      </c>
      <c r="F68" s="243">
        <v>5000</v>
      </c>
      <c r="G68" s="184" t="s">
        <v>374</v>
      </c>
      <c r="H68" s="184" t="s">
        <v>36</v>
      </c>
      <c r="I68" s="184" t="s">
        <v>33</v>
      </c>
      <c r="J68" s="184" t="s">
        <v>34</v>
      </c>
      <c r="K68" s="184" t="s">
        <v>36</v>
      </c>
      <c r="L68" s="184" t="s">
        <v>35</v>
      </c>
      <c r="M68" s="206" t="s">
        <v>33</v>
      </c>
      <c r="N68" s="184" t="s">
        <v>8</v>
      </c>
      <c r="O68" s="197">
        <v>500000</v>
      </c>
      <c r="P68" s="182">
        <v>40</v>
      </c>
      <c r="Q68" s="244">
        <v>0.1</v>
      </c>
      <c r="R68" s="197">
        <f>O68*Q68</f>
        <v>50000</v>
      </c>
      <c r="S68" s="182">
        <f>P68*Q68</f>
        <v>4</v>
      </c>
      <c r="T68" s="193">
        <f>IF(H68="VL",0,IF(H68="L",0.1,IF(H68="M",0.25,IF(H68="H",0.75,IF(H68="VH",0.9,1)))))</f>
        <v>0.1</v>
      </c>
      <c r="U68" s="193">
        <f>IF(H68="VL",0.1,IF(H68="L",0.25,IF(H68="M",0.75,IF(H68="H",0.9,IF(H68="VH",1,1)))))</f>
        <v>0.25</v>
      </c>
      <c r="V68" s="194">
        <f>(U68-T68)/SQRT(12)</f>
        <v>4.3301270189221933E-2</v>
      </c>
      <c r="W68" s="195">
        <f>($O68*($Q68+$T68+$U68)/3 + $O68*($U68-$T68)/6*0.84162)/1000</f>
        <v>85.520250000000004</v>
      </c>
      <c r="X68" s="195">
        <f>($O68*($Q68+$T68+$U68)/3 + $O68*($U68-$T68)/6*1.036)/1000</f>
        <v>87.95</v>
      </c>
      <c r="Y68" s="195">
        <f>($O68*($Q68+$T68+$U68)/3 + $O68*($U68-$T68)/6*1.28)/1000</f>
        <v>91</v>
      </c>
      <c r="Z68" s="168"/>
      <c r="AA68" s="11"/>
      <c r="AC68" s="362">
        <v>86</v>
      </c>
      <c r="AD68" s="362"/>
      <c r="AE68" s="362"/>
      <c r="AF68" s="363"/>
      <c r="AG68" s="363"/>
      <c r="AH68" s="363"/>
      <c r="AI68" s="363"/>
      <c r="AJ68" s="363"/>
      <c r="AK68" s="363"/>
      <c r="AN68" s="195">
        <f>($O68*($Q68+$T68+$U68)/3 + $O68*($U68-$T68)/6*0.84162)/1000</f>
        <v>85.520250000000004</v>
      </c>
    </row>
    <row r="69" spans="1:40" x14ac:dyDescent="0.25">
      <c r="A69" s="182" t="s">
        <v>6</v>
      </c>
      <c r="AC69" s="364">
        <v>-9</v>
      </c>
      <c r="AD69" s="364"/>
      <c r="AE69" s="364"/>
      <c r="AF69" s="364"/>
      <c r="AG69" s="364"/>
      <c r="AH69" s="364"/>
      <c r="AI69" s="364" t="s">
        <v>625</v>
      </c>
      <c r="AJ69" s="364"/>
      <c r="AK69" s="364"/>
      <c r="AN69" s="168"/>
    </row>
    <row r="70" spans="1:40" s="2" customFormat="1" x14ac:dyDescent="0.25">
      <c r="A70" s="182" t="s">
        <v>437</v>
      </c>
      <c r="B70" s="216">
        <v>4445</v>
      </c>
      <c r="C70" s="184" t="s">
        <v>61</v>
      </c>
      <c r="D70" s="230" t="s">
        <v>535</v>
      </c>
      <c r="E70" s="187" t="s">
        <v>381</v>
      </c>
      <c r="F70" s="247">
        <v>5000</v>
      </c>
      <c r="G70" s="184" t="s">
        <v>374</v>
      </c>
      <c r="H70" s="220" t="s">
        <v>33</v>
      </c>
      <c r="I70" s="220" t="s">
        <v>35</v>
      </c>
      <c r="J70" s="220" t="s">
        <v>36</v>
      </c>
      <c r="K70" s="220" t="s">
        <v>33</v>
      </c>
      <c r="L70" s="220" t="s">
        <v>35</v>
      </c>
      <c r="M70" s="206" t="s">
        <v>33</v>
      </c>
      <c r="N70" s="184" t="s">
        <v>8</v>
      </c>
      <c r="O70" s="211">
        <v>50000</v>
      </c>
      <c r="P70" s="187">
        <v>0</v>
      </c>
      <c r="Q70" s="246">
        <v>0.05</v>
      </c>
      <c r="R70" s="197">
        <f t="shared" ref="R70:R89" si="21">O70*Q70</f>
        <v>2500</v>
      </c>
      <c r="S70" s="182">
        <f t="shared" ref="S70:S89" si="22">P70*Q70</f>
        <v>0</v>
      </c>
      <c r="T70" s="193">
        <f t="shared" ref="T70:T88" si="23">IF(H70="VL",0,IF(H70="L",0.1,IF(H70="M",0.25,IF(H70="H",0.75,IF(H70="VH",0.9,1)))))</f>
        <v>0.25</v>
      </c>
      <c r="U70" s="193">
        <f t="shared" ref="U70:U88" si="24">IF(H70="VL",0.1,IF(H70="L",0.25,IF(H70="M",0.75,IF(H70="H",0.9,IF(H70="VH",1,1)))))</f>
        <v>0.75</v>
      </c>
      <c r="V70" s="194">
        <f t="shared" ref="V70:V89" si="25">(U70-T70)/SQRT(12)</f>
        <v>0.14433756729740646</v>
      </c>
      <c r="W70" s="195">
        <f t="shared" ref="W70:W89" si="26">($O70*($Q70+$T70+$U70)/3 + $O70*($U70-$T70)/6*0.84162)/1000</f>
        <v>21.00675</v>
      </c>
      <c r="X70" s="195">
        <f t="shared" ref="X70:X89" si="27">($O70*($Q70+$T70+$U70)/3 + $O70*($U70-$T70)/6*1.036)/1000</f>
        <v>21.816666666666666</v>
      </c>
      <c r="Y70" s="195">
        <f t="shared" ref="Y70:Y89" si="28">($O70*($Q70+$T70+$U70)/3 + $O70*($U70-$T70)/6*1.28)/1000</f>
        <v>22.833333333333336</v>
      </c>
      <c r="Z70" s="168"/>
      <c r="AA70" s="11"/>
      <c r="AC70" s="362">
        <v>21</v>
      </c>
      <c r="AD70" s="362"/>
      <c r="AE70" s="363"/>
      <c r="AF70" s="363"/>
      <c r="AG70" s="363"/>
      <c r="AH70" s="363"/>
      <c r="AI70" s="363" t="s">
        <v>656</v>
      </c>
      <c r="AJ70" s="363"/>
      <c r="AK70" s="363"/>
      <c r="AN70" s="195">
        <f t="shared" ref="AN70:AN89" si="29">($O70*($Q70+$T70+$U70)/3 + $O70*($U70-$T70)/6*0.84162)/1000</f>
        <v>21.00675</v>
      </c>
    </row>
    <row r="71" spans="1:40" s="2" customFormat="1" ht="30" x14ac:dyDescent="0.25">
      <c r="A71" s="182" t="s">
        <v>438</v>
      </c>
      <c r="B71" s="183">
        <v>4446</v>
      </c>
      <c r="C71" s="184" t="s">
        <v>121</v>
      </c>
      <c r="D71" s="215" t="s">
        <v>434</v>
      </c>
      <c r="E71" s="187" t="s">
        <v>385</v>
      </c>
      <c r="F71" s="184"/>
      <c r="G71" s="184" t="s">
        <v>374</v>
      </c>
      <c r="H71" s="184" t="s">
        <v>34</v>
      </c>
      <c r="I71" s="184" t="s">
        <v>35</v>
      </c>
      <c r="J71" s="184" t="s">
        <v>36</v>
      </c>
      <c r="K71" s="184" t="s">
        <v>35</v>
      </c>
      <c r="L71" s="184" t="s">
        <v>35</v>
      </c>
      <c r="M71" s="206" t="s">
        <v>33</v>
      </c>
      <c r="N71" s="184" t="s">
        <v>8</v>
      </c>
      <c r="O71" s="211">
        <v>-50000</v>
      </c>
      <c r="P71" s="187">
        <v>0</v>
      </c>
      <c r="Q71" s="246">
        <v>0.25</v>
      </c>
      <c r="R71" s="197">
        <f t="shared" si="21"/>
        <v>-12500</v>
      </c>
      <c r="S71" s="182">
        <f t="shared" si="22"/>
        <v>0</v>
      </c>
      <c r="T71" s="193">
        <f t="shared" si="23"/>
        <v>0.75</v>
      </c>
      <c r="U71" s="193">
        <f t="shared" si="24"/>
        <v>0.9</v>
      </c>
      <c r="V71" s="194">
        <f t="shared" si="25"/>
        <v>4.330127018922194E-2</v>
      </c>
      <c r="W71" s="195">
        <f t="shared" si="26"/>
        <v>-32.718691666666672</v>
      </c>
      <c r="X71" s="195">
        <f t="shared" si="27"/>
        <v>-32.961666666666673</v>
      </c>
      <c r="Y71" s="195">
        <f t="shared" si="28"/>
        <v>-33.266666666666673</v>
      </c>
      <c r="Z71" s="168"/>
      <c r="AA71" s="11"/>
      <c r="AC71" s="363"/>
      <c r="AD71" s="363"/>
      <c r="AE71" s="362">
        <v>-33</v>
      </c>
      <c r="AF71" s="362"/>
      <c r="AG71" s="363"/>
      <c r="AH71" s="363"/>
      <c r="AI71" s="363" t="s">
        <v>626</v>
      </c>
      <c r="AJ71" s="363"/>
      <c r="AK71" s="363"/>
      <c r="AN71" s="195">
        <f t="shared" si="29"/>
        <v>-32.718691666666672</v>
      </c>
    </row>
    <row r="72" spans="1:40" s="2" customFormat="1" x14ac:dyDescent="0.25">
      <c r="A72" s="182" t="s">
        <v>439</v>
      </c>
      <c r="B72" s="183">
        <v>4447</v>
      </c>
      <c r="C72" s="184" t="s">
        <v>121</v>
      </c>
      <c r="D72" s="219" t="s">
        <v>536</v>
      </c>
      <c r="E72" s="187" t="s">
        <v>381</v>
      </c>
      <c r="F72" s="184"/>
      <c r="G72" s="184" t="s">
        <v>374</v>
      </c>
      <c r="H72" s="184" t="s">
        <v>33</v>
      </c>
      <c r="I72" s="184" t="s">
        <v>35</v>
      </c>
      <c r="J72" s="184" t="s">
        <v>33</v>
      </c>
      <c r="K72" s="184" t="s">
        <v>35</v>
      </c>
      <c r="L72" s="184" t="s">
        <v>35</v>
      </c>
      <c r="M72" s="206" t="s">
        <v>33</v>
      </c>
      <c r="N72" s="184" t="s">
        <v>8</v>
      </c>
      <c r="O72" s="211">
        <v>-100000</v>
      </c>
      <c r="P72" s="187">
        <v>0</v>
      </c>
      <c r="Q72" s="246">
        <v>0.5</v>
      </c>
      <c r="R72" s="197">
        <f t="shared" si="21"/>
        <v>-50000</v>
      </c>
      <c r="S72" s="182">
        <f t="shared" si="22"/>
        <v>0</v>
      </c>
      <c r="T72" s="193">
        <f t="shared" si="23"/>
        <v>0.25</v>
      </c>
      <c r="U72" s="193">
        <f t="shared" si="24"/>
        <v>0.75</v>
      </c>
      <c r="V72" s="194">
        <f t="shared" si="25"/>
        <v>0.14433756729740646</v>
      </c>
      <c r="W72" s="195">
        <f t="shared" si="26"/>
        <v>-57.013500000000001</v>
      </c>
      <c r="X72" s="195">
        <f t="shared" si="27"/>
        <v>-58.633333333333333</v>
      </c>
      <c r="Y72" s="195">
        <f t="shared" si="28"/>
        <v>-60.666666666666671</v>
      </c>
      <c r="Z72" s="168"/>
      <c r="AA72" s="11"/>
      <c r="AC72" s="362">
        <v>-57</v>
      </c>
      <c r="AD72" s="362"/>
      <c r="AE72" s="363"/>
      <c r="AF72" s="363"/>
      <c r="AG72" s="363"/>
      <c r="AH72" s="363"/>
      <c r="AI72" s="363"/>
      <c r="AJ72" s="363"/>
      <c r="AK72" s="363"/>
      <c r="AN72" s="195">
        <f t="shared" si="29"/>
        <v>-57.013500000000001</v>
      </c>
    </row>
    <row r="73" spans="1:40" s="2" customFormat="1" ht="45" x14ac:dyDescent="0.25">
      <c r="A73" s="182" t="s">
        <v>440</v>
      </c>
      <c r="B73" s="183">
        <v>4444</v>
      </c>
      <c r="C73" s="184" t="s">
        <v>61</v>
      </c>
      <c r="D73" s="215" t="s">
        <v>537</v>
      </c>
      <c r="E73" s="184" t="s">
        <v>613</v>
      </c>
      <c r="F73" s="184"/>
      <c r="G73" s="184" t="s">
        <v>374</v>
      </c>
      <c r="H73" s="184" t="s">
        <v>33</v>
      </c>
      <c r="I73" s="184" t="s">
        <v>35</v>
      </c>
      <c r="J73" s="184" t="s">
        <v>64</v>
      </c>
      <c r="K73" s="184" t="s">
        <v>33</v>
      </c>
      <c r="L73" s="184" t="s">
        <v>35</v>
      </c>
      <c r="M73" s="196" t="s">
        <v>34</v>
      </c>
      <c r="N73" s="184" t="s">
        <v>8</v>
      </c>
      <c r="O73" s="211">
        <v>1000000</v>
      </c>
      <c r="P73" s="187">
        <v>0</v>
      </c>
      <c r="Q73" s="246">
        <v>0.25</v>
      </c>
      <c r="R73" s="197">
        <f t="shared" si="21"/>
        <v>250000</v>
      </c>
      <c r="S73" s="182">
        <f t="shared" si="22"/>
        <v>0</v>
      </c>
      <c r="T73" s="193">
        <f t="shared" si="23"/>
        <v>0.25</v>
      </c>
      <c r="U73" s="193">
        <f t="shared" si="24"/>
        <v>0.75</v>
      </c>
      <c r="V73" s="194">
        <f t="shared" si="25"/>
        <v>0.14433756729740646</v>
      </c>
      <c r="W73" s="195">
        <f t="shared" si="26"/>
        <v>486.80166666666668</v>
      </c>
      <c r="X73" s="195">
        <f t="shared" si="27"/>
        <v>503</v>
      </c>
      <c r="Y73" s="195">
        <f t="shared" si="28"/>
        <v>523.33333333333337</v>
      </c>
      <c r="Z73" s="209">
        <f>SUM(W65:W73)</f>
        <v>544.33925833333331</v>
      </c>
      <c r="AA73" s="11"/>
      <c r="AC73" s="362">
        <v>487</v>
      </c>
      <c r="AD73" s="362"/>
      <c r="AE73" s="362"/>
      <c r="AF73" s="363"/>
      <c r="AG73" s="363"/>
      <c r="AH73" s="363"/>
      <c r="AI73" s="363"/>
      <c r="AJ73" s="363"/>
      <c r="AK73" s="363"/>
      <c r="AN73" s="195">
        <f t="shared" si="29"/>
        <v>486.80166666666668</v>
      </c>
    </row>
    <row r="74" spans="1:40" s="2" customFormat="1" ht="30" x14ac:dyDescent="0.25">
      <c r="A74" s="182" t="s">
        <v>3</v>
      </c>
      <c r="B74" s="183">
        <v>3393</v>
      </c>
      <c r="C74" s="184" t="s">
        <v>61</v>
      </c>
      <c r="D74" s="215" t="s">
        <v>4</v>
      </c>
      <c r="E74" s="184" t="s">
        <v>348</v>
      </c>
      <c r="F74" s="186"/>
      <c r="G74" s="184" t="s">
        <v>374</v>
      </c>
      <c r="H74" s="184" t="s">
        <v>33</v>
      </c>
      <c r="I74" s="184" t="s">
        <v>35</v>
      </c>
      <c r="J74" s="184" t="s">
        <v>34</v>
      </c>
      <c r="K74" s="184" t="s">
        <v>35</v>
      </c>
      <c r="L74" s="184" t="s">
        <v>35</v>
      </c>
      <c r="M74" s="196" t="s">
        <v>34</v>
      </c>
      <c r="N74" s="184" t="s">
        <v>612</v>
      </c>
      <c r="O74" s="211">
        <v>500000</v>
      </c>
      <c r="P74" s="187"/>
      <c r="Q74" s="246">
        <v>0.25</v>
      </c>
      <c r="R74" s="197">
        <f t="shared" si="21"/>
        <v>125000</v>
      </c>
      <c r="S74" s="182">
        <f t="shared" si="22"/>
        <v>0</v>
      </c>
      <c r="T74" s="193">
        <f t="shared" si="23"/>
        <v>0.25</v>
      </c>
      <c r="U74" s="193">
        <f t="shared" si="24"/>
        <v>0.75</v>
      </c>
      <c r="V74" s="194">
        <f t="shared" si="25"/>
        <v>0.14433756729740646</v>
      </c>
      <c r="W74" s="195">
        <f t="shared" si="26"/>
        <v>243.40083333333334</v>
      </c>
      <c r="X74" s="195">
        <f t="shared" si="27"/>
        <v>251.5</v>
      </c>
      <c r="Y74" s="195">
        <f t="shared" si="28"/>
        <v>261.66666666666669</v>
      </c>
      <c r="Z74" s="168"/>
      <c r="AA74" s="11"/>
      <c r="AC74" s="363"/>
      <c r="AD74" s="363"/>
      <c r="AE74" s="362">
        <v>243</v>
      </c>
      <c r="AF74" s="362"/>
      <c r="AG74" s="362"/>
      <c r="AH74" s="362"/>
      <c r="AI74" s="363"/>
      <c r="AJ74" s="363"/>
      <c r="AK74" s="363"/>
      <c r="AN74" s="195">
        <f t="shared" si="29"/>
        <v>243.40083333333334</v>
      </c>
    </row>
    <row r="75" spans="1:40" s="2" customFormat="1" ht="30" x14ac:dyDescent="0.25">
      <c r="A75" s="182" t="s">
        <v>191</v>
      </c>
      <c r="B75" s="183">
        <v>3394</v>
      </c>
      <c r="C75" s="184" t="s">
        <v>61</v>
      </c>
      <c r="D75" s="215" t="s">
        <v>192</v>
      </c>
      <c r="E75" s="184" t="s">
        <v>355</v>
      </c>
      <c r="F75" s="186"/>
      <c r="G75" s="184" t="s">
        <v>374</v>
      </c>
      <c r="H75" s="184" t="s">
        <v>33</v>
      </c>
      <c r="I75" s="184" t="s">
        <v>35</v>
      </c>
      <c r="J75" s="184" t="s">
        <v>36</v>
      </c>
      <c r="K75" s="184" t="s">
        <v>35</v>
      </c>
      <c r="L75" s="184" t="s">
        <v>35</v>
      </c>
      <c r="M75" s="284" t="s">
        <v>36</v>
      </c>
      <c r="N75" s="184" t="s">
        <v>612</v>
      </c>
      <c r="O75" s="211">
        <v>70000</v>
      </c>
      <c r="P75" s="187"/>
      <c r="Q75" s="246">
        <v>0.5</v>
      </c>
      <c r="R75" s="197">
        <f t="shared" si="21"/>
        <v>35000</v>
      </c>
      <c r="S75" s="182">
        <f t="shared" si="22"/>
        <v>0</v>
      </c>
      <c r="T75" s="193">
        <f t="shared" si="23"/>
        <v>0.25</v>
      </c>
      <c r="U75" s="193">
        <f t="shared" si="24"/>
        <v>0.75</v>
      </c>
      <c r="V75" s="194">
        <f t="shared" si="25"/>
        <v>0.14433756729740646</v>
      </c>
      <c r="W75" s="195">
        <f t="shared" si="26"/>
        <v>39.90945</v>
      </c>
      <c r="X75" s="195">
        <f t="shared" si="27"/>
        <v>41.043333333333337</v>
      </c>
      <c r="Y75" s="195">
        <f t="shared" si="28"/>
        <v>42.466666666666661</v>
      </c>
      <c r="Z75" s="168"/>
      <c r="AA75" s="11"/>
      <c r="AC75" s="363"/>
      <c r="AD75" s="363"/>
      <c r="AE75" s="363"/>
      <c r="AF75" s="362">
        <v>40</v>
      </c>
      <c r="AG75" s="362"/>
      <c r="AH75" s="363"/>
      <c r="AI75" s="363" t="s">
        <v>627</v>
      </c>
      <c r="AJ75" s="363"/>
      <c r="AK75" s="363"/>
      <c r="AN75" s="195">
        <f t="shared" si="29"/>
        <v>39.90945</v>
      </c>
    </row>
    <row r="76" spans="1:40" s="2" customFormat="1" ht="30" x14ac:dyDescent="0.25">
      <c r="A76" s="182" t="s">
        <v>197</v>
      </c>
      <c r="B76" s="183">
        <v>3395</v>
      </c>
      <c r="C76" s="184" t="s">
        <v>61</v>
      </c>
      <c r="D76" s="215" t="s">
        <v>198</v>
      </c>
      <c r="E76" s="342" t="s">
        <v>527</v>
      </c>
      <c r="F76" s="186"/>
      <c r="G76" s="184" t="s">
        <v>374</v>
      </c>
      <c r="H76" s="184" t="s">
        <v>33</v>
      </c>
      <c r="I76" s="184" t="s">
        <v>35</v>
      </c>
      <c r="J76" s="184" t="s">
        <v>155</v>
      </c>
      <c r="K76" s="184" t="s">
        <v>35</v>
      </c>
      <c r="L76" s="184" t="s">
        <v>35</v>
      </c>
      <c r="M76" s="284" t="s">
        <v>36</v>
      </c>
      <c r="N76" s="184" t="s">
        <v>612</v>
      </c>
      <c r="O76" s="211">
        <v>100000</v>
      </c>
      <c r="P76" s="187"/>
      <c r="Q76" s="246">
        <v>0.5</v>
      </c>
      <c r="R76" s="197">
        <f t="shared" si="21"/>
        <v>50000</v>
      </c>
      <c r="S76" s="182">
        <f t="shared" si="22"/>
        <v>0</v>
      </c>
      <c r="T76" s="193">
        <f t="shared" si="23"/>
        <v>0.25</v>
      </c>
      <c r="U76" s="193">
        <f t="shared" si="24"/>
        <v>0.75</v>
      </c>
      <c r="V76" s="194">
        <f t="shared" si="25"/>
        <v>0.14433756729740646</v>
      </c>
      <c r="W76" s="195">
        <f t="shared" si="26"/>
        <v>57.013500000000001</v>
      </c>
      <c r="X76" s="195">
        <f t="shared" si="27"/>
        <v>58.633333333333333</v>
      </c>
      <c r="Y76" s="195">
        <f t="shared" si="28"/>
        <v>60.666666666666671</v>
      </c>
      <c r="Z76" s="168"/>
      <c r="AA76" s="11"/>
      <c r="AC76" s="363"/>
      <c r="AD76" s="363"/>
      <c r="AE76" s="363"/>
      <c r="AF76" s="363"/>
      <c r="AG76" s="362">
        <v>57</v>
      </c>
      <c r="AH76" s="363"/>
      <c r="AI76" s="363" t="s">
        <v>657</v>
      </c>
      <c r="AJ76" s="363"/>
      <c r="AK76" s="363"/>
      <c r="AN76" s="195">
        <f t="shared" si="29"/>
        <v>57.013500000000001</v>
      </c>
    </row>
    <row r="77" spans="1:40" s="2" customFormat="1" ht="30" x14ac:dyDescent="0.25">
      <c r="A77" s="182" t="s">
        <v>193</v>
      </c>
      <c r="B77" s="183">
        <v>3396</v>
      </c>
      <c r="C77" s="184" t="s">
        <v>121</v>
      </c>
      <c r="D77" s="215" t="s">
        <v>375</v>
      </c>
      <c r="E77" s="184" t="s">
        <v>512</v>
      </c>
      <c r="F77" s="186"/>
      <c r="G77" s="184" t="s">
        <v>374</v>
      </c>
      <c r="H77" s="184" t="s">
        <v>33</v>
      </c>
      <c r="I77" s="184" t="s">
        <v>35</v>
      </c>
      <c r="J77" s="184" t="s">
        <v>36</v>
      </c>
      <c r="K77" s="184" t="s">
        <v>35</v>
      </c>
      <c r="L77" s="184" t="s">
        <v>35</v>
      </c>
      <c r="M77" s="284" t="s">
        <v>36</v>
      </c>
      <c r="N77" s="184" t="s">
        <v>612</v>
      </c>
      <c r="O77" s="211">
        <v>-30000</v>
      </c>
      <c r="P77" s="187"/>
      <c r="Q77" s="246">
        <v>0.5</v>
      </c>
      <c r="R77" s="197">
        <f t="shared" si="21"/>
        <v>-15000</v>
      </c>
      <c r="S77" s="182">
        <f t="shared" si="22"/>
        <v>0</v>
      </c>
      <c r="T77" s="193">
        <f t="shared" si="23"/>
        <v>0.25</v>
      </c>
      <c r="U77" s="193">
        <f t="shared" si="24"/>
        <v>0.75</v>
      </c>
      <c r="V77" s="194">
        <f t="shared" si="25"/>
        <v>0.14433756729740646</v>
      </c>
      <c r="W77" s="195">
        <f t="shared" si="26"/>
        <v>-17.104050000000001</v>
      </c>
      <c r="X77" s="195">
        <f t="shared" si="27"/>
        <v>-17.59</v>
      </c>
      <c r="Y77" s="195">
        <f t="shared" si="28"/>
        <v>-18.2</v>
      </c>
      <c r="Z77" s="168"/>
      <c r="AA77" s="11"/>
      <c r="AC77" s="363"/>
      <c r="AD77" s="363"/>
      <c r="AE77" s="362">
        <v>-17</v>
      </c>
      <c r="AF77" s="363"/>
      <c r="AG77" s="363"/>
      <c r="AH77" s="363"/>
      <c r="AI77" s="363"/>
      <c r="AJ77" s="363"/>
      <c r="AK77" s="363"/>
      <c r="AN77" s="195">
        <f t="shared" si="29"/>
        <v>-17.104050000000001</v>
      </c>
    </row>
    <row r="78" spans="1:40" s="2" customFormat="1" ht="30" x14ac:dyDescent="0.25">
      <c r="A78" s="182" t="s">
        <v>25</v>
      </c>
      <c r="B78" s="183">
        <v>3397</v>
      </c>
      <c r="C78" s="184" t="s">
        <v>121</v>
      </c>
      <c r="D78" s="215" t="s">
        <v>161</v>
      </c>
      <c r="E78" s="184" t="s">
        <v>512</v>
      </c>
      <c r="F78" s="186"/>
      <c r="G78" s="184" t="s">
        <v>374</v>
      </c>
      <c r="H78" s="184" t="s">
        <v>36</v>
      </c>
      <c r="I78" s="184" t="s">
        <v>35</v>
      </c>
      <c r="J78" s="184" t="s">
        <v>36</v>
      </c>
      <c r="K78" s="184" t="s">
        <v>35</v>
      </c>
      <c r="L78" s="184" t="s">
        <v>35</v>
      </c>
      <c r="M78" s="284" t="s">
        <v>36</v>
      </c>
      <c r="N78" s="184" t="s">
        <v>612</v>
      </c>
      <c r="O78" s="211">
        <v>-20000</v>
      </c>
      <c r="P78" s="187"/>
      <c r="Q78" s="246">
        <v>0.1</v>
      </c>
      <c r="R78" s="197">
        <f t="shared" si="21"/>
        <v>-2000</v>
      </c>
      <c r="S78" s="182">
        <f t="shared" si="22"/>
        <v>0</v>
      </c>
      <c r="T78" s="193">
        <f t="shared" si="23"/>
        <v>0.1</v>
      </c>
      <c r="U78" s="193">
        <f t="shared" si="24"/>
        <v>0.25</v>
      </c>
      <c r="V78" s="194">
        <f t="shared" si="25"/>
        <v>4.3301270189221933E-2</v>
      </c>
      <c r="W78" s="195">
        <f t="shared" si="26"/>
        <v>-3.4208099999999999</v>
      </c>
      <c r="X78" s="195">
        <f t="shared" si="27"/>
        <v>-3.5179999999999998</v>
      </c>
      <c r="Y78" s="195">
        <f t="shared" si="28"/>
        <v>-3.64</v>
      </c>
      <c r="Z78" s="168"/>
      <c r="AA78" s="11"/>
      <c r="AC78" s="363"/>
      <c r="AD78" s="363"/>
      <c r="AE78" s="362">
        <v>-3</v>
      </c>
      <c r="AF78" s="363"/>
      <c r="AG78" s="363"/>
      <c r="AH78" s="363"/>
      <c r="AI78" s="363" t="s">
        <v>628</v>
      </c>
      <c r="AJ78" s="363"/>
      <c r="AK78" s="363"/>
      <c r="AN78" s="195">
        <f t="shared" si="29"/>
        <v>-3.4208099999999999</v>
      </c>
    </row>
    <row r="79" spans="1:40" s="2" customFormat="1" ht="45" x14ac:dyDescent="0.25">
      <c r="A79" s="182" t="s">
        <v>232</v>
      </c>
      <c r="B79" s="183">
        <v>3398</v>
      </c>
      <c r="C79" s="184" t="s">
        <v>121</v>
      </c>
      <c r="D79" s="215" t="s">
        <v>233</v>
      </c>
      <c r="E79" s="184" t="s">
        <v>513</v>
      </c>
      <c r="F79" s="186"/>
      <c r="G79" s="184" t="s">
        <v>374</v>
      </c>
      <c r="H79" s="184" t="s">
        <v>36</v>
      </c>
      <c r="I79" s="184" t="s">
        <v>35</v>
      </c>
      <c r="J79" s="184" t="s">
        <v>36</v>
      </c>
      <c r="K79" s="184" t="s">
        <v>35</v>
      </c>
      <c r="L79" s="184" t="s">
        <v>35</v>
      </c>
      <c r="M79" s="284" t="s">
        <v>36</v>
      </c>
      <c r="N79" s="184" t="s">
        <v>612</v>
      </c>
      <c r="O79" s="211">
        <v>-40000</v>
      </c>
      <c r="P79" s="187"/>
      <c r="Q79" s="246">
        <v>0.3</v>
      </c>
      <c r="R79" s="197">
        <f t="shared" si="21"/>
        <v>-12000</v>
      </c>
      <c r="S79" s="182">
        <f t="shared" si="22"/>
        <v>0</v>
      </c>
      <c r="T79" s="193">
        <f t="shared" si="23"/>
        <v>0.1</v>
      </c>
      <c r="U79" s="193">
        <f t="shared" si="24"/>
        <v>0.25</v>
      </c>
      <c r="V79" s="194">
        <f t="shared" si="25"/>
        <v>4.3301270189221933E-2</v>
      </c>
      <c r="W79" s="195">
        <f t="shared" si="26"/>
        <v>-9.5082866666666668</v>
      </c>
      <c r="X79" s="195">
        <f t="shared" si="27"/>
        <v>-9.7026666666666657</v>
      </c>
      <c r="Y79" s="195">
        <f t="shared" si="28"/>
        <v>-9.9466666666666654</v>
      </c>
      <c r="Z79" s="168"/>
      <c r="AA79" s="11"/>
      <c r="AC79" s="362">
        <v>-10</v>
      </c>
      <c r="AD79" s="362"/>
      <c r="AE79" s="362"/>
      <c r="AF79" s="362"/>
      <c r="AG79" s="362"/>
      <c r="AH79" s="363"/>
      <c r="AI79" s="363" t="s">
        <v>629</v>
      </c>
      <c r="AJ79" s="363"/>
      <c r="AK79" s="363"/>
      <c r="AN79" s="195">
        <f t="shared" si="29"/>
        <v>-9.5082866666666668</v>
      </c>
    </row>
    <row r="80" spans="1:40" s="2" customFormat="1" ht="45" x14ac:dyDescent="0.25">
      <c r="A80" s="182" t="s">
        <v>184</v>
      </c>
      <c r="B80" s="183">
        <v>3399</v>
      </c>
      <c r="C80" s="184" t="s">
        <v>121</v>
      </c>
      <c r="D80" s="215" t="s">
        <v>185</v>
      </c>
      <c r="E80" s="155" t="s">
        <v>513</v>
      </c>
      <c r="F80" s="186"/>
      <c r="G80" s="184" t="s">
        <v>374</v>
      </c>
      <c r="H80" s="184" t="s">
        <v>36</v>
      </c>
      <c r="I80" s="184" t="s">
        <v>35</v>
      </c>
      <c r="J80" s="184" t="s">
        <v>36</v>
      </c>
      <c r="K80" s="184" t="s">
        <v>35</v>
      </c>
      <c r="L80" s="184" t="s">
        <v>35</v>
      </c>
      <c r="M80" s="284" t="s">
        <v>36</v>
      </c>
      <c r="N80" s="184" t="s">
        <v>612</v>
      </c>
      <c r="O80" s="211">
        <v>-40000</v>
      </c>
      <c r="P80" s="187"/>
      <c r="Q80" s="246">
        <v>0.1</v>
      </c>
      <c r="R80" s="197">
        <f t="shared" si="21"/>
        <v>-4000</v>
      </c>
      <c r="S80" s="182">
        <f t="shared" si="22"/>
        <v>0</v>
      </c>
      <c r="T80" s="193">
        <f t="shared" si="23"/>
        <v>0.1</v>
      </c>
      <c r="U80" s="193">
        <f t="shared" si="24"/>
        <v>0.25</v>
      </c>
      <c r="V80" s="194">
        <f t="shared" si="25"/>
        <v>4.3301270189221933E-2</v>
      </c>
      <c r="W80" s="195">
        <f t="shared" si="26"/>
        <v>-6.8416199999999998</v>
      </c>
      <c r="X80" s="195">
        <f t="shared" si="27"/>
        <v>-7.0359999999999996</v>
      </c>
      <c r="Y80" s="195">
        <f t="shared" si="28"/>
        <v>-7.28</v>
      </c>
      <c r="Z80" s="209">
        <f>SUM(W74:W80)</f>
        <v>303.44901666666669</v>
      </c>
      <c r="AA80" s="11"/>
      <c r="AC80" s="362">
        <v>-7</v>
      </c>
      <c r="AD80" s="362"/>
      <c r="AE80" s="362"/>
      <c r="AF80" s="362"/>
      <c r="AG80" s="362"/>
      <c r="AH80" s="363"/>
      <c r="AI80" s="363"/>
      <c r="AJ80" s="363"/>
      <c r="AK80" s="363"/>
      <c r="AN80" s="195">
        <f t="shared" si="29"/>
        <v>-6.8416199999999998</v>
      </c>
    </row>
    <row r="81" spans="1:40" s="2" customFormat="1" ht="45" x14ac:dyDescent="0.25">
      <c r="A81" s="182" t="s">
        <v>75</v>
      </c>
      <c r="B81" s="183">
        <v>3400</v>
      </c>
      <c r="C81" s="184" t="s">
        <v>61</v>
      </c>
      <c r="D81" s="215" t="s">
        <v>303</v>
      </c>
      <c r="E81" s="184" t="s">
        <v>348</v>
      </c>
      <c r="F81" s="186">
        <v>2000000</v>
      </c>
      <c r="G81" s="184" t="s">
        <v>374</v>
      </c>
      <c r="H81" s="184" t="s">
        <v>36</v>
      </c>
      <c r="I81" s="184" t="s">
        <v>35</v>
      </c>
      <c r="J81" s="184" t="s">
        <v>34</v>
      </c>
      <c r="K81" s="184" t="s">
        <v>34</v>
      </c>
      <c r="L81" s="184" t="s">
        <v>35</v>
      </c>
      <c r="M81" s="206" t="s">
        <v>33</v>
      </c>
      <c r="N81" s="184" t="s">
        <v>76</v>
      </c>
      <c r="O81" s="211">
        <v>2000000</v>
      </c>
      <c r="P81" s="187">
        <v>0</v>
      </c>
      <c r="Q81" s="246">
        <v>0.1</v>
      </c>
      <c r="R81" s="197">
        <f t="shared" si="21"/>
        <v>200000</v>
      </c>
      <c r="S81" s="182">
        <f t="shared" si="22"/>
        <v>0</v>
      </c>
      <c r="T81" s="193">
        <f t="shared" si="23"/>
        <v>0.1</v>
      </c>
      <c r="U81" s="193">
        <f t="shared" si="24"/>
        <v>0.25</v>
      </c>
      <c r="V81" s="194">
        <f t="shared" si="25"/>
        <v>4.3301270189221933E-2</v>
      </c>
      <c r="W81" s="195">
        <f t="shared" si="26"/>
        <v>342.08100000000002</v>
      </c>
      <c r="X81" s="195">
        <f t="shared" si="27"/>
        <v>351.8</v>
      </c>
      <c r="Y81" s="195">
        <f t="shared" si="28"/>
        <v>364</v>
      </c>
      <c r="Z81" s="168"/>
      <c r="AA81" s="11"/>
      <c r="AC81" s="363"/>
      <c r="AD81" s="363"/>
      <c r="AE81" s="362">
        <v>342</v>
      </c>
      <c r="AF81" s="362"/>
      <c r="AG81" s="362"/>
      <c r="AH81" s="362"/>
      <c r="AI81" s="363"/>
      <c r="AJ81" s="363"/>
      <c r="AK81" s="363"/>
      <c r="AN81" s="195">
        <f t="shared" si="29"/>
        <v>342.08100000000002</v>
      </c>
    </row>
    <row r="82" spans="1:40" s="2" customFormat="1" x14ac:dyDescent="0.25">
      <c r="A82" s="182" t="s">
        <v>178</v>
      </c>
      <c r="B82" s="183">
        <v>3402</v>
      </c>
      <c r="C82" s="184" t="s">
        <v>61</v>
      </c>
      <c r="D82" s="215" t="s">
        <v>179</v>
      </c>
      <c r="E82" s="187" t="s">
        <v>614</v>
      </c>
      <c r="F82" s="186"/>
      <c r="G82" s="184" t="s">
        <v>374</v>
      </c>
      <c r="H82" s="184" t="s">
        <v>36</v>
      </c>
      <c r="I82" s="184" t="s">
        <v>35</v>
      </c>
      <c r="J82" s="184" t="s">
        <v>36</v>
      </c>
      <c r="K82" s="184" t="s">
        <v>155</v>
      </c>
      <c r="L82" s="184" t="s">
        <v>35</v>
      </c>
      <c r="M82" s="206" t="s">
        <v>33</v>
      </c>
      <c r="N82" s="184" t="s">
        <v>76</v>
      </c>
      <c r="O82" s="211">
        <v>50000</v>
      </c>
      <c r="P82" s="187"/>
      <c r="Q82" s="246">
        <v>0.2</v>
      </c>
      <c r="R82" s="197">
        <f t="shared" si="21"/>
        <v>10000</v>
      </c>
      <c r="S82" s="182">
        <f t="shared" si="22"/>
        <v>0</v>
      </c>
      <c r="T82" s="193">
        <f t="shared" si="23"/>
        <v>0.1</v>
      </c>
      <c r="U82" s="193">
        <f t="shared" si="24"/>
        <v>0.25</v>
      </c>
      <c r="V82" s="194">
        <f t="shared" si="25"/>
        <v>4.3301270189221933E-2</v>
      </c>
      <c r="W82" s="195">
        <f t="shared" si="26"/>
        <v>10.218691666666668</v>
      </c>
      <c r="X82" s="195">
        <f t="shared" si="27"/>
        <v>10.461666666666668</v>
      </c>
      <c r="Y82" s="195">
        <f t="shared" si="28"/>
        <v>10.766666666666667</v>
      </c>
      <c r="Z82" s="168"/>
      <c r="AA82" s="11"/>
      <c r="AC82" s="362">
        <v>10</v>
      </c>
      <c r="AD82" s="362"/>
      <c r="AE82" s="362"/>
      <c r="AF82" s="363"/>
      <c r="AG82" s="363"/>
      <c r="AH82" s="363"/>
      <c r="AI82" s="363"/>
      <c r="AJ82" s="363"/>
      <c r="AK82" s="363"/>
      <c r="AN82" s="195">
        <f t="shared" si="29"/>
        <v>10.218691666666668</v>
      </c>
    </row>
    <row r="83" spans="1:40" s="2" customFormat="1" ht="45" x14ac:dyDescent="0.25">
      <c r="A83" s="182" t="s">
        <v>378</v>
      </c>
      <c r="B83" s="183">
        <v>4199</v>
      </c>
      <c r="C83" s="187" t="s">
        <v>61</v>
      </c>
      <c r="D83" s="219" t="s">
        <v>376</v>
      </c>
      <c r="E83" s="184" t="s">
        <v>511</v>
      </c>
      <c r="F83" s="186"/>
      <c r="G83" s="184" t="s">
        <v>374</v>
      </c>
      <c r="H83" s="184" t="s">
        <v>36</v>
      </c>
      <c r="I83" s="184" t="s">
        <v>34</v>
      </c>
      <c r="J83" s="184" t="s">
        <v>34</v>
      </c>
      <c r="K83" s="184" t="s">
        <v>33</v>
      </c>
      <c r="L83" s="184" t="s">
        <v>35</v>
      </c>
      <c r="M83" s="206" t="s">
        <v>33</v>
      </c>
      <c r="N83" s="184" t="s">
        <v>377</v>
      </c>
      <c r="O83" s="211">
        <v>500000</v>
      </c>
      <c r="P83" s="187">
        <v>200</v>
      </c>
      <c r="Q83" s="246">
        <v>0.2</v>
      </c>
      <c r="R83" s="197">
        <f t="shared" si="21"/>
        <v>100000</v>
      </c>
      <c r="S83" s="182">
        <f t="shared" si="22"/>
        <v>40</v>
      </c>
      <c r="T83" s="193">
        <f t="shared" si="23"/>
        <v>0.1</v>
      </c>
      <c r="U83" s="193">
        <f t="shared" si="24"/>
        <v>0.25</v>
      </c>
      <c r="V83" s="194">
        <f t="shared" si="25"/>
        <v>4.3301270189221933E-2</v>
      </c>
      <c r="W83" s="195">
        <f t="shared" si="26"/>
        <v>102.18691666666668</v>
      </c>
      <c r="X83" s="195">
        <f t="shared" si="27"/>
        <v>104.61666666666667</v>
      </c>
      <c r="Y83" s="195">
        <f t="shared" si="28"/>
        <v>107.66666666666667</v>
      </c>
      <c r="Z83" s="168"/>
      <c r="AA83" s="11"/>
      <c r="AC83" s="363"/>
      <c r="AD83" s="363"/>
      <c r="AE83" s="362">
        <v>102</v>
      </c>
      <c r="AF83" s="362"/>
      <c r="AG83" s="363"/>
      <c r="AH83" s="363"/>
      <c r="AI83" s="363"/>
      <c r="AJ83" s="363"/>
      <c r="AK83" s="363"/>
      <c r="AN83" s="195">
        <f t="shared" si="29"/>
        <v>102.18691666666668</v>
      </c>
    </row>
    <row r="84" spans="1:40" s="2" customFormat="1" ht="30" x14ac:dyDescent="0.25">
      <c r="A84" s="182" t="s">
        <v>265</v>
      </c>
      <c r="B84" s="183">
        <v>4257</v>
      </c>
      <c r="C84" s="184" t="s">
        <v>61</v>
      </c>
      <c r="D84" s="215" t="s">
        <v>382</v>
      </c>
      <c r="E84" s="184" t="s">
        <v>512</v>
      </c>
      <c r="F84" s="248"/>
      <c r="G84" s="184" t="s">
        <v>374</v>
      </c>
      <c r="H84" s="184" t="s">
        <v>36</v>
      </c>
      <c r="I84" s="184" t="s">
        <v>35</v>
      </c>
      <c r="J84" s="184" t="s">
        <v>155</v>
      </c>
      <c r="K84" s="184" t="s">
        <v>35</v>
      </c>
      <c r="L84" s="184" t="s">
        <v>35</v>
      </c>
      <c r="M84" s="284" t="s">
        <v>36</v>
      </c>
      <c r="N84" s="184" t="s">
        <v>76</v>
      </c>
      <c r="O84" s="211">
        <v>50000</v>
      </c>
      <c r="P84" s="187">
        <v>0</v>
      </c>
      <c r="Q84" s="246">
        <v>0.2</v>
      </c>
      <c r="R84" s="197">
        <f t="shared" si="21"/>
        <v>10000</v>
      </c>
      <c r="S84" s="182">
        <f t="shared" si="22"/>
        <v>0</v>
      </c>
      <c r="T84" s="193">
        <f t="shared" si="23"/>
        <v>0.1</v>
      </c>
      <c r="U84" s="193">
        <f t="shared" si="24"/>
        <v>0.25</v>
      </c>
      <c r="V84" s="194">
        <f t="shared" si="25"/>
        <v>4.3301270189221933E-2</v>
      </c>
      <c r="W84" s="195">
        <f t="shared" si="26"/>
        <v>10.218691666666668</v>
      </c>
      <c r="X84" s="195">
        <f t="shared" si="27"/>
        <v>10.461666666666668</v>
      </c>
      <c r="Y84" s="195">
        <f t="shared" si="28"/>
        <v>10.766666666666667</v>
      </c>
      <c r="Z84" s="168"/>
      <c r="AA84" s="11"/>
      <c r="AC84" s="363"/>
      <c r="AD84" s="363"/>
      <c r="AE84" s="362">
        <v>10</v>
      </c>
      <c r="AF84" s="363"/>
      <c r="AG84" s="363"/>
      <c r="AH84" s="363"/>
      <c r="AI84" s="363"/>
      <c r="AJ84" s="363"/>
      <c r="AK84" s="363"/>
      <c r="AN84" s="195">
        <f t="shared" si="29"/>
        <v>10.218691666666668</v>
      </c>
    </row>
    <row r="85" spans="1:40" s="2" customFormat="1" ht="30" x14ac:dyDescent="0.25">
      <c r="A85" s="182" t="s">
        <v>266</v>
      </c>
      <c r="B85" s="183">
        <v>4260</v>
      </c>
      <c r="C85" s="184" t="s">
        <v>61</v>
      </c>
      <c r="D85" s="215" t="s">
        <v>383</v>
      </c>
      <c r="E85" s="184" t="s">
        <v>615</v>
      </c>
      <c r="F85" s="248"/>
      <c r="G85" s="184" t="s">
        <v>374</v>
      </c>
      <c r="H85" s="184" t="s">
        <v>36</v>
      </c>
      <c r="I85" s="184" t="s">
        <v>35</v>
      </c>
      <c r="J85" s="184" t="s">
        <v>36</v>
      </c>
      <c r="K85" s="184" t="s">
        <v>35</v>
      </c>
      <c r="L85" s="184" t="s">
        <v>35</v>
      </c>
      <c r="M85" s="284" t="s">
        <v>36</v>
      </c>
      <c r="N85" s="184" t="s">
        <v>76</v>
      </c>
      <c r="O85" s="211">
        <v>150000</v>
      </c>
      <c r="P85" s="187">
        <v>0</v>
      </c>
      <c r="Q85" s="205">
        <v>0.2</v>
      </c>
      <c r="R85" s="197">
        <f t="shared" si="21"/>
        <v>30000</v>
      </c>
      <c r="S85" s="182">
        <f t="shared" si="22"/>
        <v>0</v>
      </c>
      <c r="T85" s="193">
        <f t="shared" si="23"/>
        <v>0.1</v>
      </c>
      <c r="U85" s="193">
        <f t="shared" si="24"/>
        <v>0.25</v>
      </c>
      <c r="V85" s="194">
        <f t="shared" si="25"/>
        <v>4.3301270189221933E-2</v>
      </c>
      <c r="W85" s="195">
        <f t="shared" si="26"/>
        <v>30.656075000000001</v>
      </c>
      <c r="X85" s="195">
        <f t="shared" si="27"/>
        <v>31.385000000000002</v>
      </c>
      <c r="Y85" s="195">
        <f t="shared" si="28"/>
        <v>32.299999999999997</v>
      </c>
      <c r="Z85" s="217"/>
      <c r="AA85" s="11"/>
      <c r="AC85" s="363"/>
      <c r="AD85" s="362">
        <v>31</v>
      </c>
      <c r="AE85" s="363"/>
      <c r="AF85" s="363"/>
      <c r="AG85" s="363"/>
      <c r="AH85" s="363"/>
      <c r="AI85" s="363" t="s">
        <v>630</v>
      </c>
      <c r="AJ85" s="363"/>
      <c r="AK85" s="363"/>
      <c r="AN85" s="195">
        <f t="shared" si="29"/>
        <v>30.656075000000001</v>
      </c>
    </row>
    <row r="86" spans="1:40" s="2" customFormat="1" ht="45" x14ac:dyDescent="0.25">
      <c r="A86" s="182" t="s">
        <v>268</v>
      </c>
      <c r="B86" s="183">
        <v>4262</v>
      </c>
      <c r="C86" s="184" t="s">
        <v>121</v>
      </c>
      <c r="D86" s="215" t="s">
        <v>384</v>
      </c>
      <c r="E86" s="184" t="s">
        <v>385</v>
      </c>
      <c r="F86" s="248"/>
      <c r="G86" s="184" t="s">
        <v>374</v>
      </c>
      <c r="H86" s="184" t="s">
        <v>33</v>
      </c>
      <c r="I86" s="184" t="s">
        <v>35</v>
      </c>
      <c r="J86" s="184" t="s">
        <v>36</v>
      </c>
      <c r="K86" s="184" t="s">
        <v>35</v>
      </c>
      <c r="L86" s="184" t="s">
        <v>35</v>
      </c>
      <c r="M86" s="284" t="s">
        <v>36</v>
      </c>
      <c r="N86" s="184" t="s">
        <v>76</v>
      </c>
      <c r="O86" s="211">
        <v>-100000</v>
      </c>
      <c r="P86" s="187">
        <v>0</v>
      </c>
      <c r="Q86" s="205">
        <v>0.5</v>
      </c>
      <c r="R86" s="197">
        <f t="shared" si="21"/>
        <v>-50000</v>
      </c>
      <c r="S86" s="182">
        <f t="shared" si="22"/>
        <v>0</v>
      </c>
      <c r="T86" s="193">
        <f t="shared" si="23"/>
        <v>0.25</v>
      </c>
      <c r="U86" s="193">
        <f t="shared" si="24"/>
        <v>0.75</v>
      </c>
      <c r="V86" s="194">
        <f t="shared" si="25"/>
        <v>0.14433756729740646</v>
      </c>
      <c r="W86" s="195">
        <f t="shared" si="26"/>
        <v>-57.013500000000001</v>
      </c>
      <c r="X86" s="195">
        <f t="shared" si="27"/>
        <v>-58.633333333333333</v>
      </c>
      <c r="Y86" s="195">
        <f t="shared" si="28"/>
        <v>-60.666666666666671</v>
      </c>
      <c r="Z86" s="217"/>
      <c r="AA86" s="11"/>
      <c r="AC86" s="363"/>
      <c r="AD86" s="363"/>
      <c r="AE86" s="362">
        <v>-57</v>
      </c>
      <c r="AF86" s="362"/>
      <c r="AG86" s="363"/>
      <c r="AH86" s="363"/>
      <c r="AI86" s="363"/>
      <c r="AJ86" s="363"/>
      <c r="AK86" s="363"/>
      <c r="AN86" s="195">
        <f t="shared" si="29"/>
        <v>-57.013500000000001</v>
      </c>
    </row>
    <row r="87" spans="1:40" s="2" customFormat="1" ht="30" x14ac:dyDescent="0.25">
      <c r="A87" s="182" t="s">
        <v>269</v>
      </c>
      <c r="B87" s="183">
        <v>4259</v>
      </c>
      <c r="C87" s="184" t="s">
        <v>121</v>
      </c>
      <c r="D87" s="215" t="s">
        <v>386</v>
      </c>
      <c r="E87" s="184" t="s">
        <v>615</v>
      </c>
      <c r="F87" s="248"/>
      <c r="G87" s="184" t="s">
        <v>374</v>
      </c>
      <c r="H87" s="184" t="s">
        <v>33</v>
      </c>
      <c r="I87" s="184" t="s">
        <v>35</v>
      </c>
      <c r="J87" s="184" t="s">
        <v>36</v>
      </c>
      <c r="K87" s="184" t="s">
        <v>35</v>
      </c>
      <c r="L87" s="184" t="s">
        <v>35</v>
      </c>
      <c r="M87" s="284" t="s">
        <v>36</v>
      </c>
      <c r="N87" s="184" t="s">
        <v>76</v>
      </c>
      <c r="O87" s="211">
        <v>-100000</v>
      </c>
      <c r="P87" s="187">
        <v>0</v>
      </c>
      <c r="Q87" s="205">
        <v>0.5</v>
      </c>
      <c r="R87" s="197">
        <f t="shared" si="21"/>
        <v>-50000</v>
      </c>
      <c r="S87" s="182">
        <f t="shared" si="22"/>
        <v>0</v>
      </c>
      <c r="T87" s="193">
        <f t="shared" si="23"/>
        <v>0.25</v>
      </c>
      <c r="U87" s="193">
        <f t="shared" si="24"/>
        <v>0.75</v>
      </c>
      <c r="V87" s="194">
        <f t="shared" si="25"/>
        <v>0.14433756729740646</v>
      </c>
      <c r="W87" s="195">
        <f t="shared" si="26"/>
        <v>-57.013500000000001</v>
      </c>
      <c r="X87" s="195">
        <f t="shared" si="27"/>
        <v>-58.633333333333333</v>
      </c>
      <c r="Y87" s="195">
        <f t="shared" si="28"/>
        <v>-60.666666666666671</v>
      </c>
      <c r="Z87" s="217"/>
      <c r="AA87" s="11"/>
      <c r="AC87" s="363"/>
      <c r="AD87" s="362">
        <v>-57</v>
      </c>
      <c r="AE87" s="363"/>
      <c r="AF87" s="363"/>
      <c r="AG87" s="363"/>
      <c r="AH87" s="363"/>
      <c r="AI87" s="363" t="s">
        <v>630</v>
      </c>
      <c r="AJ87" s="363"/>
      <c r="AK87" s="363"/>
      <c r="AN87" s="195">
        <f t="shared" si="29"/>
        <v>-57.013500000000001</v>
      </c>
    </row>
    <row r="88" spans="1:40" s="2" customFormat="1" ht="40.5" customHeight="1" x14ac:dyDescent="0.25">
      <c r="A88" s="182" t="s">
        <v>270</v>
      </c>
      <c r="B88" s="183">
        <v>4263</v>
      </c>
      <c r="C88" s="184" t="s">
        <v>121</v>
      </c>
      <c r="D88" s="249" t="s">
        <v>387</v>
      </c>
      <c r="E88" s="184" t="s">
        <v>615</v>
      </c>
      <c r="F88" s="248"/>
      <c r="G88" s="184" t="s">
        <v>374</v>
      </c>
      <c r="H88" s="184" t="s">
        <v>33</v>
      </c>
      <c r="I88" s="184" t="s">
        <v>35</v>
      </c>
      <c r="J88" s="184" t="s">
        <v>36</v>
      </c>
      <c r="K88" s="184" t="s">
        <v>35</v>
      </c>
      <c r="L88" s="184" t="s">
        <v>35</v>
      </c>
      <c r="M88" s="284" t="s">
        <v>36</v>
      </c>
      <c r="N88" s="184" t="s">
        <v>76</v>
      </c>
      <c r="O88" s="211">
        <v>-200000</v>
      </c>
      <c r="P88" s="187">
        <v>0</v>
      </c>
      <c r="Q88" s="205">
        <v>0.5</v>
      </c>
      <c r="R88" s="197">
        <f t="shared" si="21"/>
        <v>-100000</v>
      </c>
      <c r="S88" s="182">
        <f t="shared" si="22"/>
        <v>0</v>
      </c>
      <c r="T88" s="193">
        <f t="shared" si="23"/>
        <v>0.25</v>
      </c>
      <c r="U88" s="193">
        <f t="shared" si="24"/>
        <v>0.75</v>
      </c>
      <c r="V88" s="194">
        <f t="shared" si="25"/>
        <v>0.14433756729740646</v>
      </c>
      <c r="W88" s="195">
        <f t="shared" si="26"/>
        <v>-114.027</v>
      </c>
      <c r="X88" s="195">
        <f t="shared" si="27"/>
        <v>-117.26666666666667</v>
      </c>
      <c r="Y88" s="195">
        <f t="shared" si="28"/>
        <v>-121.33333333333334</v>
      </c>
      <c r="Z88" s="217"/>
      <c r="AA88" s="11"/>
      <c r="AC88" s="363"/>
      <c r="AD88" s="362">
        <v>-114</v>
      </c>
      <c r="AE88" s="363"/>
      <c r="AF88" s="363"/>
      <c r="AG88" s="363"/>
      <c r="AH88" s="363"/>
      <c r="AI88" s="363" t="s">
        <v>630</v>
      </c>
      <c r="AJ88" s="363"/>
      <c r="AK88" s="363"/>
      <c r="AN88" s="195">
        <f t="shared" si="29"/>
        <v>-114.027</v>
      </c>
    </row>
    <row r="89" spans="1:40" s="2" customFormat="1" ht="30.75" thickBot="1" x14ac:dyDescent="0.3">
      <c r="A89" s="182" t="s">
        <v>271</v>
      </c>
      <c r="B89" s="183">
        <v>4258</v>
      </c>
      <c r="C89" s="184" t="s">
        <v>61</v>
      </c>
      <c r="D89" s="215" t="s">
        <v>388</v>
      </c>
      <c r="E89" s="184" t="s">
        <v>348</v>
      </c>
      <c r="F89" s="248"/>
      <c r="G89" s="184" t="s">
        <v>374</v>
      </c>
      <c r="H89" s="184" t="s">
        <v>34</v>
      </c>
      <c r="I89" s="184" t="s">
        <v>35</v>
      </c>
      <c r="J89" s="184" t="s">
        <v>155</v>
      </c>
      <c r="K89" s="184" t="s">
        <v>35</v>
      </c>
      <c r="L89" s="184" t="s">
        <v>35</v>
      </c>
      <c r="M89" s="284" t="s">
        <v>36</v>
      </c>
      <c r="N89" s="184" t="s">
        <v>76</v>
      </c>
      <c r="O89" s="211">
        <v>60000</v>
      </c>
      <c r="P89" s="187">
        <v>0</v>
      </c>
      <c r="Q89" s="205">
        <v>0.8</v>
      </c>
      <c r="R89" s="197">
        <f t="shared" si="21"/>
        <v>48000</v>
      </c>
      <c r="S89" s="182">
        <f t="shared" si="22"/>
        <v>0</v>
      </c>
      <c r="T89" s="193">
        <f>IF($Q89=0,0, IF($Q89 = 100%, 100%,$Q89-12.5%))* IF($T$1="Y", 1, IF(#REF!&lt;0,0,1))</f>
        <v>0.67500000000000004</v>
      </c>
      <c r="U89" s="193">
        <f>IF($Q89=0,0, IF($Q89 = 100%, 100%,$Q89+12.5%))* IF($T$1="Y", 1, IF(#REF!&lt;0,0,1))</f>
        <v>0.92500000000000004</v>
      </c>
      <c r="V89" s="194">
        <f t="shared" si="25"/>
        <v>7.216878364870323E-2</v>
      </c>
      <c r="W89" s="195">
        <f t="shared" si="26"/>
        <v>50.104050000000008</v>
      </c>
      <c r="X89" s="195">
        <f t="shared" si="27"/>
        <v>50.590000000000011</v>
      </c>
      <c r="Y89" s="195">
        <f t="shared" si="28"/>
        <v>51.20000000000001</v>
      </c>
      <c r="Z89" s="209">
        <f>SUM(W81:W89)+1</f>
        <v>318.41142499999995</v>
      </c>
      <c r="AA89" s="11"/>
      <c r="AC89" s="363"/>
      <c r="AD89" s="363"/>
      <c r="AE89" s="362">
        <v>50</v>
      </c>
      <c r="AF89" s="362"/>
      <c r="AG89" s="362"/>
      <c r="AH89" s="362"/>
      <c r="AI89" s="363"/>
      <c r="AJ89" s="363"/>
      <c r="AK89" s="363"/>
      <c r="AN89" s="195">
        <f t="shared" si="29"/>
        <v>50.104050000000008</v>
      </c>
    </row>
    <row r="90" spans="1:40" ht="17.25" thickBot="1" x14ac:dyDescent="0.3">
      <c r="F90" s="251">
        <f>SUM(F6:F89)</f>
        <v>4342000</v>
      </c>
      <c r="G90" s="252"/>
      <c r="O90" s="253">
        <f>IF($T$1="Y", SUM(O6:O89), SUMIF(O6:O89, "&gt;0", O6:O89))</f>
        <v>57474787</v>
      </c>
      <c r="P90" s="254">
        <f>IF($T$1="Y", SUM(P6:P89), SUMIF(P6:P89, "&gt;0", P6:P89))</f>
        <v>5847</v>
      </c>
      <c r="Q90" s="255"/>
      <c r="R90" s="256">
        <f>IF($T$1="Y", SUM(R6:R89), SUMIF(R6:R89, "&gt;0", R6:R89))</f>
        <v>8073150</v>
      </c>
      <c r="S90" s="257">
        <f>IF($T$1="Y", SUM(S6:S89), SUMIF(S6:S89, "&gt;0", S6:S89))</f>
        <v>725.85</v>
      </c>
      <c r="T90" s="258"/>
      <c r="U90" s="259">
        <f>IF(H26="VL",0.1,IF(H26="L",0.25,IF(H26="M",0.75,IF(H26="H",0.9,IF(H26="VH",1,1)))))</f>
        <v>0.75</v>
      </c>
      <c r="V90" s="259"/>
      <c r="W90" s="260">
        <f>SUM(W6:W89)</f>
        <v>8907.5151533735043</v>
      </c>
      <c r="X90" s="261">
        <f>SUM(X6:X89)</f>
        <v>9187.2755332999968</v>
      </c>
      <c r="Y90" s="261">
        <f>SUM(Y6:Y89)</f>
        <v>9538.4512340000001</v>
      </c>
      <c r="Z90" s="260">
        <f>SUM(Z6:Z89)</f>
        <v>3657.8088267068329</v>
      </c>
      <c r="AC90" s="364">
        <f>SUM(AC6:AC89)</f>
        <v>-1248</v>
      </c>
      <c r="AD90" s="364">
        <f t="shared" ref="AD90:AH90" si="30">SUM(AD6:AD89)</f>
        <v>2027</v>
      </c>
      <c r="AE90" s="364">
        <f t="shared" si="30"/>
        <v>1327</v>
      </c>
      <c r="AF90" s="364">
        <f t="shared" si="30"/>
        <v>2305</v>
      </c>
      <c r="AG90" s="364">
        <f t="shared" si="30"/>
        <v>891</v>
      </c>
      <c r="AH90" s="364">
        <f t="shared" si="30"/>
        <v>1497</v>
      </c>
      <c r="AI90" s="364">
        <f>AC90+AD90+AF90+AE90+AG90+AH90</f>
        <v>6799</v>
      </c>
      <c r="AJ90" s="364"/>
      <c r="AK90" s="364"/>
      <c r="AN90" s="160">
        <f>SUM(AN6:AN89)</f>
        <v>8907.5151533735043</v>
      </c>
    </row>
    <row r="91" spans="1:40" ht="30" x14ac:dyDescent="0.25">
      <c r="E91" s="262" t="s">
        <v>528</v>
      </c>
      <c r="F91" s="263">
        <v>40000</v>
      </c>
      <c r="AC91" s="364"/>
      <c r="AD91" s="364"/>
      <c r="AE91" s="364"/>
      <c r="AF91" s="364"/>
      <c r="AG91" s="364"/>
      <c r="AH91" s="364"/>
      <c r="AI91" s="364"/>
      <c r="AJ91" s="364"/>
      <c r="AK91" s="364"/>
      <c r="AN91" s="160">
        <f>AN90+AC8+AC34+AC64+AC69</f>
        <v>6801.5151533735043</v>
      </c>
    </row>
    <row r="92" spans="1:40" ht="30" x14ac:dyDescent="0.25">
      <c r="E92" s="262" t="s">
        <v>529</v>
      </c>
      <c r="F92" s="263">
        <v>3685000</v>
      </c>
      <c r="AC92" s="364"/>
      <c r="AD92" s="364"/>
      <c r="AE92" s="364"/>
      <c r="AF92" s="364"/>
      <c r="AG92" s="364"/>
      <c r="AH92" s="364"/>
      <c r="AI92" s="364"/>
      <c r="AJ92" s="364"/>
      <c r="AK92" s="364"/>
    </row>
    <row r="93" spans="1:40" ht="30.75" thickBot="1" x14ac:dyDescent="0.3">
      <c r="E93" s="262" t="s">
        <v>530</v>
      </c>
      <c r="F93" s="263">
        <v>470000</v>
      </c>
      <c r="AC93" s="364"/>
      <c r="AD93" s="364"/>
      <c r="AE93" s="364"/>
      <c r="AF93" s="364"/>
      <c r="AG93" s="364"/>
      <c r="AH93" s="364"/>
      <c r="AI93" s="364"/>
      <c r="AJ93" s="364"/>
      <c r="AK93" s="364"/>
    </row>
    <row r="94" spans="1:40" ht="47.25" customHeight="1" thickBot="1" x14ac:dyDescent="0.3">
      <c r="E94" s="262" t="s">
        <v>531</v>
      </c>
      <c r="F94" s="264">
        <f>SUM(F90:F93)</f>
        <v>8537000</v>
      </c>
      <c r="AC94" s="364"/>
      <c r="AD94" s="364"/>
      <c r="AE94" s="364"/>
      <c r="AF94" s="364"/>
      <c r="AG94" s="364"/>
      <c r="AH94" s="364"/>
      <c r="AI94" s="364"/>
      <c r="AJ94" s="364"/>
      <c r="AK94" s="364"/>
    </row>
  </sheetData>
  <customSheetViews>
    <customSheetView guid="{8AF944F7-C3D1-6E48-8544-F246EE5D8D9B}" hiddenColumns="1">
      <pane ySplit="1.05" topLeftCell="A77" activePane="bottomLeft" state="frozenSplit"/>
      <selection pane="bottomLeft" activeCell="D8" sqref="D8"/>
      <pageMargins left="0.7" right="0.7" top="0.75" bottom="0.75" header="0.3" footer="0.3"/>
    </customSheetView>
    <customSheetView guid="{2B075AC7-DBBC-D945-A93B-024C897F18C8}" hiddenColumns="1">
      <pane ySplit="1.05" topLeftCell="A81" activePane="bottomLeft" state="frozenSplit"/>
      <selection pane="bottomLeft" activeCell="AJ87" sqref="AJ87"/>
      <pageMargins left="0.7" right="0.7" top="0.75" bottom="0.75" header="0.3" footer="0.3"/>
    </customSheetView>
    <customSheetView guid="{7D136558-6337-4481-BB09-697594446B4E}" hiddenColumns="1">
      <pane ySplit="1" topLeftCell="A77" activePane="bottomLeft" state="frozenSplit"/>
      <selection pane="bottomLeft" activeCell="D8" sqref="D8"/>
      <pageMargins left="0.7" right="0.7" top="0.75" bottom="0.75" header="0.3" footer="0.3"/>
    </customSheetView>
  </customSheetViews>
  <mergeCells count="4">
    <mergeCell ref="A4:D4"/>
    <mergeCell ref="H4:M4"/>
    <mergeCell ref="T4:Y4"/>
    <mergeCell ref="T5:U5"/>
  </mergeCells>
  <phoneticPr fontId="21" type="noConversion"/>
  <conditionalFormatting sqref="V9">
    <cfRule type="cellIs" dxfId="221" priority="71" operator="greaterThan">
      <formula>1</formula>
    </cfRule>
    <cfRule type="cellIs" dxfId="220" priority="72" operator="lessThan">
      <formula>0</formula>
    </cfRule>
  </conditionalFormatting>
  <conditionalFormatting sqref="C47:C48">
    <cfRule type="cellIs" dxfId="219" priority="65" stopIfTrue="1" operator="equal">
      <formula>"Threat"</formula>
    </cfRule>
    <cfRule type="cellIs" dxfId="218" priority="66" stopIfTrue="1" operator="equal">
      <formula>"Opportunity"</formula>
    </cfRule>
  </conditionalFormatting>
  <conditionalFormatting sqref="V32">
    <cfRule type="cellIs" dxfId="217" priority="57" operator="greaterThan">
      <formula>1</formula>
    </cfRule>
    <cfRule type="cellIs" dxfId="216" priority="58" operator="lessThan">
      <formula>0</formula>
    </cfRule>
  </conditionalFormatting>
  <conditionalFormatting sqref="C32">
    <cfRule type="cellIs" dxfId="215" priority="59" stopIfTrue="1" operator="equal">
      <formula>"Threat"</formula>
    </cfRule>
    <cfRule type="cellIs" dxfId="214" priority="60" stopIfTrue="1" operator="equal">
      <formula>"Opportunity"</formula>
    </cfRule>
  </conditionalFormatting>
  <conditionalFormatting sqref="U32">
    <cfRule type="cellIs" dxfId="213" priority="55" operator="greaterThan">
      <formula>1</formula>
    </cfRule>
    <cfRule type="cellIs" dxfId="212" priority="56" operator="lessThan">
      <formula>0</formula>
    </cfRule>
  </conditionalFormatting>
  <conditionalFormatting sqref="U32">
    <cfRule type="cellIs" dxfId="211" priority="53" operator="equal">
      <formula>1</formula>
    </cfRule>
    <cfRule type="cellIs" dxfId="210" priority="54" operator="equal">
      <formula>0</formula>
    </cfRule>
  </conditionalFormatting>
  <conditionalFormatting sqref="V19">
    <cfRule type="cellIs" dxfId="209" priority="51" operator="greaterThan">
      <formula>1</formula>
    </cfRule>
    <cfRule type="cellIs" dxfId="208" priority="52" operator="lessThan">
      <formula>0</formula>
    </cfRule>
  </conditionalFormatting>
  <conditionalFormatting sqref="U19">
    <cfRule type="cellIs" dxfId="207" priority="47" operator="greaterThan">
      <formula>1</formula>
    </cfRule>
    <cfRule type="cellIs" dxfId="206" priority="48" operator="lessThan">
      <formula>0</formula>
    </cfRule>
  </conditionalFormatting>
  <conditionalFormatting sqref="U19">
    <cfRule type="cellIs" dxfId="205" priority="45" operator="equal">
      <formula>1</formula>
    </cfRule>
    <cfRule type="cellIs" dxfId="204" priority="46" operator="equal">
      <formula>0</formula>
    </cfRule>
  </conditionalFormatting>
  <conditionalFormatting sqref="C26:C27 C43">
    <cfRule type="cellIs" dxfId="203" priority="43" stopIfTrue="1" operator="equal">
      <formula>"Threat"</formula>
    </cfRule>
    <cfRule type="cellIs" dxfId="202" priority="44" stopIfTrue="1" operator="equal">
      <formula>"Opportunity"</formula>
    </cfRule>
  </conditionalFormatting>
  <conditionalFormatting sqref="C29">
    <cfRule type="cellIs" dxfId="201" priority="35" stopIfTrue="1" operator="equal">
      <formula>"Threat"</formula>
    </cfRule>
    <cfRule type="cellIs" dxfId="200" priority="36" stopIfTrue="1" operator="equal">
      <formula>"Opportunity"</formula>
    </cfRule>
  </conditionalFormatting>
  <conditionalFormatting sqref="U26">
    <cfRule type="cellIs" dxfId="199" priority="31" operator="greaterThan">
      <formula>1</formula>
    </cfRule>
    <cfRule type="cellIs" dxfId="198" priority="32" operator="lessThan">
      <formula>0</formula>
    </cfRule>
  </conditionalFormatting>
  <conditionalFormatting sqref="C85 C87">
    <cfRule type="cellIs" dxfId="197" priority="7" stopIfTrue="1" operator="equal">
      <formula>"Threat"</formula>
    </cfRule>
    <cfRule type="cellIs" dxfId="196" priority="8" stopIfTrue="1" operator="equal">
      <formula>"Opportunity"</formula>
    </cfRule>
  </conditionalFormatting>
  <conditionalFormatting sqref="C89">
    <cfRule type="cellIs" dxfId="195" priority="1" stopIfTrue="1" operator="equal">
      <formula>"Threat"</formula>
    </cfRule>
    <cfRule type="cellIs" dxfId="194" priority="2" stopIfTrue="1" operator="equal">
      <formula>"Opportunity"</formula>
    </cfRule>
  </conditionalFormatting>
  <conditionalFormatting sqref="C21:C25 C33 C31 C46 C36:C42 C6:C7 C49:C63 C9:C18 C65:C68 C70:C84">
    <cfRule type="cellIs" dxfId="193" priority="73" stopIfTrue="1" operator="equal">
      <formula>"Threat"</formula>
    </cfRule>
    <cfRule type="cellIs" dxfId="192" priority="74" stopIfTrue="1" operator="equal">
      <formula>"Opportunity"</formula>
    </cfRule>
  </conditionalFormatting>
  <conditionalFormatting sqref="U54">
    <cfRule type="cellIs" dxfId="191" priority="69" operator="greaterThan">
      <formula>1</formula>
    </cfRule>
    <cfRule type="cellIs" dxfId="190" priority="70" operator="lessThan">
      <formula>0</formula>
    </cfRule>
  </conditionalFormatting>
  <conditionalFormatting sqref="U54">
    <cfRule type="cellIs" dxfId="189" priority="67" operator="equal">
      <formula>1</formula>
    </cfRule>
    <cfRule type="cellIs" dxfId="188" priority="68" operator="equal">
      <formula>0</formula>
    </cfRule>
  </conditionalFormatting>
  <conditionalFormatting sqref="U47:U48">
    <cfRule type="cellIs" dxfId="187" priority="63" operator="greaterThan">
      <formula>1</formula>
    </cfRule>
    <cfRule type="cellIs" dxfId="186" priority="64" operator="lessThan">
      <formula>0</formula>
    </cfRule>
  </conditionalFormatting>
  <conditionalFormatting sqref="U47:U48">
    <cfRule type="cellIs" dxfId="185" priority="61" operator="equal">
      <formula>1</formula>
    </cfRule>
    <cfRule type="cellIs" dxfId="184" priority="62" operator="equal">
      <formula>0</formula>
    </cfRule>
  </conditionalFormatting>
  <conditionalFormatting sqref="C19">
    <cfRule type="cellIs" dxfId="183" priority="49" stopIfTrue="1" operator="equal">
      <formula>"Threat"</formula>
    </cfRule>
    <cfRule type="cellIs" dxfId="182" priority="50" stopIfTrue="1" operator="equal">
      <formula>"Opportunity"</formula>
    </cfRule>
  </conditionalFormatting>
  <conditionalFormatting sqref="C44">
    <cfRule type="cellIs" dxfId="181" priority="41" stopIfTrue="1" operator="equal">
      <formula>"Threat"</formula>
    </cfRule>
    <cfRule type="cellIs" dxfId="180" priority="42" stopIfTrue="1" operator="equal">
      <formula>"Opportunity"</formula>
    </cfRule>
  </conditionalFormatting>
  <conditionalFormatting sqref="C28">
    <cfRule type="cellIs" dxfId="179" priority="39" stopIfTrue="1" operator="equal">
      <formula>"Threat"</formula>
    </cfRule>
    <cfRule type="cellIs" dxfId="178" priority="40" stopIfTrue="1" operator="equal">
      <formula>"Opportunity"</formula>
    </cfRule>
  </conditionalFormatting>
  <conditionalFormatting sqref="C30">
    <cfRule type="cellIs" dxfId="177" priority="37" stopIfTrue="1" operator="equal">
      <formula>"Threat"</formula>
    </cfRule>
    <cfRule type="cellIs" dxfId="176" priority="38" stopIfTrue="1" operator="equal">
      <formula>"Opportunity"</formula>
    </cfRule>
  </conditionalFormatting>
  <conditionalFormatting sqref="V26">
    <cfRule type="cellIs" dxfId="175" priority="33" operator="greaterThan">
      <formula>1</formula>
    </cfRule>
    <cfRule type="cellIs" dxfId="174" priority="34" operator="lessThan">
      <formula>0</formula>
    </cfRule>
  </conditionalFormatting>
  <conditionalFormatting sqref="U26">
    <cfRule type="cellIs" dxfId="173" priority="29" operator="equal">
      <formula>1</formula>
    </cfRule>
    <cfRule type="cellIs" dxfId="172" priority="30" operator="equal">
      <formula>0</formula>
    </cfRule>
  </conditionalFormatting>
  <conditionalFormatting sqref="U35:V35">
    <cfRule type="cellIs" dxfId="171" priority="27" operator="greaterThan">
      <formula>1</formula>
    </cfRule>
    <cfRule type="cellIs" dxfId="170" priority="28" operator="lessThan">
      <formula>0</formula>
    </cfRule>
  </conditionalFormatting>
  <conditionalFormatting sqref="U35">
    <cfRule type="cellIs" dxfId="169" priority="25" operator="equal">
      <formula>1</formula>
    </cfRule>
    <cfRule type="cellIs" dxfId="168" priority="26" operator="equal">
      <formula>0</formula>
    </cfRule>
  </conditionalFormatting>
  <conditionalFormatting sqref="C35">
    <cfRule type="cellIs" dxfId="167" priority="23" stopIfTrue="1" operator="equal">
      <formula>"Threat"</formula>
    </cfRule>
    <cfRule type="cellIs" dxfId="166" priority="24" stopIfTrue="1" operator="equal">
      <formula>"Opportunity"</formula>
    </cfRule>
  </conditionalFormatting>
  <conditionalFormatting sqref="C20">
    <cfRule type="cellIs" dxfId="165" priority="21" stopIfTrue="1" operator="equal">
      <formula>"Threat"</formula>
    </cfRule>
    <cfRule type="cellIs" dxfId="164" priority="22" stopIfTrue="1" operator="equal">
      <formula>"Opportunity"</formula>
    </cfRule>
  </conditionalFormatting>
  <conditionalFormatting sqref="C45">
    <cfRule type="cellIs" dxfId="163" priority="19" stopIfTrue="1" operator="equal">
      <formula>"Threat"</formula>
    </cfRule>
    <cfRule type="cellIs" dxfId="162" priority="20" stopIfTrue="1" operator="equal">
      <formula>"Opportunity"</formula>
    </cfRule>
  </conditionalFormatting>
  <conditionalFormatting sqref="V45">
    <cfRule type="cellIs" dxfId="161" priority="17" operator="greaterThan">
      <formula>1</formula>
    </cfRule>
    <cfRule type="cellIs" dxfId="160" priority="18" operator="lessThan">
      <formula>0</formula>
    </cfRule>
  </conditionalFormatting>
  <conditionalFormatting sqref="U45">
    <cfRule type="cellIs" dxfId="159" priority="13" operator="equal">
      <formula>1</formula>
    </cfRule>
    <cfRule type="cellIs" dxfId="158" priority="14" operator="equal">
      <formula>0</formula>
    </cfRule>
  </conditionalFormatting>
  <conditionalFormatting sqref="U45">
    <cfRule type="cellIs" dxfId="157" priority="15" operator="greaterThan">
      <formula>1</formula>
    </cfRule>
    <cfRule type="cellIs" dxfId="156" priority="16" operator="lessThan">
      <formula>0</formula>
    </cfRule>
  </conditionalFormatting>
  <conditionalFormatting sqref="U43:V43">
    <cfRule type="cellIs" dxfId="155" priority="11" operator="greaterThan">
      <formula>1</formula>
    </cfRule>
    <cfRule type="cellIs" dxfId="154" priority="12" operator="lessThan">
      <formula>0</formula>
    </cfRule>
  </conditionalFormatting>
  <conditionalFormatting sqref="U43">
    <cfRule type="cellIs" dxfId="153" priority="9" operator="equal">
      <formula>1</formula>
    </cfRule>
    <cfRule type="cellIs" dxfId="152" priority="10" operator="equal">
      <formula>0</formula>
    </cfRule>
  </conditionalFormatting>
  <conditionalFormatting sqref="C86">
    <cfRule type="cellIs" dxfId="151" priority="5" stopIfTrue="1" operator="equal">
      <formula>"Threat"</formula>
    </cfRule>
    <cfRule type="cellIs" dxfId="150" priority="6" stopIfTrue="1" operator="equal">
      <formula>"Opportunity"</formula>
    </cfRule>
  </conditionalFormatting>
  <conditionalFormatting sqref="C88">
    <cfRule type="cellIs" dxfId="149" priority="3" stopIfTrue="1" operator="equal">
      <formula>"Threat"</formula>
    </cfRule>
    <cfRule type="cellIs" dxfId="148" priority="4" stopIfTrue="1" operator="equal">
      <formula>"Opportunity"</formula>
    </cfRule>
  </conditionalFormatting>
  <dataValidations count="2">
    <dataValidation type="list" allowBlank="1" showInputMessage="1" showErrorMessage="1" sqref="H44:L44 H28:L33 H35:L42 H6:L7 H9:L25 H46:L63 H65:L68 H70:L89">
      <formula1>"VH,H,M,L,VL,N"</formula1>
    </dataValidation>
    <dataValidation type="list" allowBlank="1" showInputMessage="1" showErrorMessage="1" sqref="C6:C7 C9:C33 C35:C63 C65:C68 C70:C89">
      <formula1>"Threat,Opportunity"</formula1>
    </dataValidation>
  </dataValidations>
  <hyperlinks>
    <hyperlink ref="B6" r:id="rId1" display="http://mu2e-docdb.fnal.gov:8080/cgi-bin/ShowDocument?docid=3328"/>
    <hyperlink ref="B7" r:id="rId2" display="http://mu2e-docdb.fnal.gov:8080/cgi-bin/ShowDocument?docid=3331"/>
    <hyperlink ref="B10" r:id="rId3" display="http://mu2e-docdb.fnal.gov:8080/cgi-bin/ShowDocument?docid=3833"/>
    <hyperlink ref="B16" r:id="rId4" display="http://mu2e-docdb.fnal.gov:8080/cgi-bin/ShowDocument?docid=3347"/>
    <hyperlink ref="B17" r:id="rId5" display="http://mu2e-docdb.fnal.gov:8080/cgi-bin/ShowDocument?docid=3834"/>
    <hyperlink ref="B27" r:id="rId6" display="http://mu2e-docdb.fnal.gov:8080/cgi-bin/ShowDocument?docid=3350"/>
    <hyperlink ref="B19" r:id="rId7" display="http://mu2e-docdb.fnal.gov:8080/cgi-bin/ShowDocument?docid=3360"/>
    <hyperlink ref="B20" r:id="rId8" display="http://mu2e-docdb.fnal.gov:8080/cgi-bin/ShowDocument?docid=3835"/>
    <hyperlink ref="B21" r:id="rId9" display="http://mu2e-docdb.fnal.gov:8080/cgi-bin/ShowDocument?docid=3836"/>
    <hyperlink ref="B23" r:id="rId10" display="http://mu2e-docdb.fnal.gov:8080/cgi-bin/ShowDocument?docid=3363"/>
    <hyperlink ref="B25" r:id="rId11" display="http://mu2e-docdb.fnal.gov:8080/cgi-bin/ShowDocument?docid=3365"/>
    <hyperlink ref="B26" r:id="rId12" display="http://mu2e-docdb.fnal.gov:8080/cgi-bin/ShowDocument?docid=3366"/>
    <hyperlink ref="B28" r:id="rId13" display="http://mu2e-docdb.fnal.gov:8080/cgi-bin/ShowDocument?docid=3757"/>
    <hyperlink ref="B29" r:id="rId14" display="http://mu2e-docdb.fnal.gov:8080/cgi-bin/ShowDocument?docid=3844"/>
    <hyperlink ref="B30" r:id="rId15" display="http://mu2e-docdb.fnal.gov:8080/cgi-bin/ShowDocument?docid=3845"/>
    <hyperlink ref="B31" r:id="rId16" display="http://mu2e-docdb.fnal.gov:8080/cgi-bin/ShowDocument?docid=3368"/>
    <hyperlink ref="B32" r:id="rId17" display="http://mu2e-docdb.fnal.gov:8080/cgi-bin/ShowDocument?docid=3373"/>
    <hyperlink ref="B33" r:id="rId18" display="http://mu2e-docdb.fnal.gov:8080/cgi-bin/ShowDocument?docid=3837"/>
    <hyperlink ref="B74" r:id="rId19" display="http://mu2e-docdb.fnal.gov:8080/cgi-bin/ShowDocument?docid=3393"/>
    <hyperlink ref="B75" r:id="rId20" display="http://mu2e-docdb.fnal.gov:8080/cgi-bin/ShowDocument?docid=3394"/>
    <hyperlink ref="B76" r:id="rId21" display="http://mu2e-docdb.fnal.gov:8080/cgi-bin/ShowDocument?docid=3395"/>
    <hyperlink ref="B77" r:id="rId22" display="http://mu2e-docdb.fnal.gov:8080/cgi-bin/ShowDocument?docid=3396"/>
    <hyperlink ref="B78" r:id="rId23" display="http://mu2e-docdb.fnal.gov:8080/cgi-bin/ShowDocument?docid=3397"/>
    <hyperlink ref="B79" r:id="rId24" display="http://mu2e-docdb.fnal.gov:8080/cgi-bin/ShowDocument?docid=3398"/>
    <hyperlink ref="B80" r:id="rId25" display="http://mu2e-docdb.fnal.gov:8080/cgi-bin/ShowDocument?docid=3399"/>
    <hyperlink ref="B81" r:id="rId26" display="http://mu2e-docdb.fnal.gov:8080/cgi-bin/ShowDocument?docid=3400"/>
    <hyperlink ref="B82" r:id="rId27" display="http://mu2e-docdb.fnal.gov:8080/cgi-bin/ShowDocument?docid=3402"/>
    <hyperlink ref="B84" r:id="rId28" display="http://mu2e-docdb.fnal.gov:8080/cgi-bin/ShowDocument?docid=4257"/>
    <hyperlink ref="B85" r:id="rId29" display="http://mu2e-docdb.fnal.gov:8080/cgi-bin/ShowDocument?docid=4260"/>
    <hyperlink ref="B86" r:id="rId30" display="http://mu2e-docdb.fnal.gov:8080/cgi-bin/ShowDocument?docid=4262"/>
    <hyperlink ref="B87" r:id="rId31" display="http://mu2e-docdb.fnal.gov:8080/cgi-bin/ShowDocument?docid=4259"/>
    <hyperlink ref="B88" r:id="rId32" display="http://mu2e-docdb.fnal.gov:8080/cgi-bin/ShowDocument?docid=4263"/>
    <hyperlink ref="B89" r:id="rId33" display="http://mu2e-docdb.fnal.gov:8080/cgi-bin/ShowDocument?docid=4258"/>
    <hyperlink ref="B83" r:id="rId34" display="http://mu2e-docdb.fnal.gov:8080/cgi-bin/ShowDocument?docid=4199"/>
    <hyperlink ref="B65" r:id="rId35" display="http://mu2e-docdb.fnal.gov:8080/cgi-bin/ShowDocument?docid=3382"/>
    <hyperlink ref="B66" r:id="rId36" display="http://mu2e-docdb.fnal.gov:8080/cgi-bin/ShowDocument?docid=3383"/>
    <hyperlink ref="B68" r:id="rId37" display="http://mu2e-docdb.fnal.gov:8080/cgi-bin/ShowDocument?docid=3390"/>
    <hyperlink ref="B67" r:id="rId38" display="http://mu2e-docdb.fnal.gov:8080/cgi-bin/ShowDocument?docid=3385"/>
    <hyperlink ref="B73" r:id="rId39" display="http://mu2e-docdb.fnal.gov:8080/cgi-bin/ShowDocument?docid=4444"/>
    <hyperlink ref="B24" r:id="rId40" display="http://mu2e-docdb.fnal.gov:8080/cgi-bin/ShowDocument?docid=3364"/>
    <hyperlink ref="B71" r:id="rId41" display="http://mu2e-docdb.fnal.gov:8080/cgi-bin/ShowDocument?docid=4446"/>
    <hyperlink ref="B72" r:id="rId42" display="http://mu2e-docdb.fnal.gov:8080/cgi-bin/ShowDocument?docid=4447"/>
    <hyperlink ref="B18" r:id="rId43" display="http://mu2e-docdb.fnal.gov:8080/cgi-bin/ShowDocument?docid=4468"/>
    <hyperlink ref="B70" r:id="rId44" display="http://mu2e-docdb.fnal.gov:8080/cgi-bin/ShowDocument?docid=4445"/>
    <hyperlink ref="B35" r:id="rId45" display="http://mu2e-docdb.fnal.gov:8080/cgi-bin/ShowDocument?docid=4556"/>
    <hyperlink ref="B36" r:id="rId46" display="http://mu2e-docdb.fnal.gov:8080/cgi-bin/ShowDocument?docid=4557"/>
    <hyperlink ref="B37" r:id="rId47" display="http://mu2e-docdb.fnal.gov:8080/cgi-bin/ShowDocument?docid=4558"/>
    <hyperlink ref="B38" r:id="rId48" display="http://mu2e-docdb.fnal.gov:8080/cgi-bin/ShowDocument?docid=4559"/>
    <hyperlink ref="B39" r:id="rId49" display="http://mu2e-docdb.fnal.gov:8080/cgi-bin/ShowDocument?docid=4560"/>
    <hyperlink ref="B40" r:id="rId50" display="http://mu2e-docdb.fnal.gov:8080/cgi-bin/ShowDocument?docid=4561"/>
    <hyperlink ref="B41" r:id="rId51" display="http://mu2e-docdb.fnal.gov:8080/cgi-bin/ShowDocument?docid=4562"/>
    <hyperlink ref="B42" r:id="rId52" display="http://mu2e-docdb.fnal.gov:8080/cgi-bin/ShowDocument?docid=4563"/>
    <hyperlink ref="B43" r:id="rId53" display="http://mu2e-docdb.fnal.gov:8080/cgi-bin/ShowDocument?docid=4564"/>
    <hyperlink ref="B44" r:id="rId54" display="http://mu2e-docdb.fnal.gov:8080/cgi-bin/ShowDocument?docid=4565"/>
    <hyperlink ref="B45" r:id="rId55" display="http://mu2e-docdb.fnal.gov:8080/cgi-bin/ShowDocument?docid=4566"/>
    <hyperlink ref="B46" r:id="rId56" display="http://mu2e-docdb.fnal.gov:8080/cgi-bin/ShowDocument?docid=4567"/>
    <hyperlink ref="B47" r:id="rId57" display="http://mu2e-docdb.fnal.gov:8080/cgi-bin/ShowDocument?docid=4568"/>
    <hyperlink ref="B48" r:id="rId58" display="http://mu2e-docdb.fnal.gov:8080/cgi-bin/ShowDocument?docid=4569"/>
    <hyperlink ref="B49" r:id="rId59" display="http://mu2e-docdb.fnal.gov:8080/cgi-bin/ShowDocument?docid=4570"/>
    <hyperlink ref="B50" r:id="rId60" display="http://mu2e-docdb.fnal.gov:8080/cgi-bin/ShowDocument?docid=4571"/>
    <hyperlink ref="B51" r:id="rId61" display="http://mu2e-docdb.fnal.gov:8080/cgi-bin/ShowDocument?docid=4572"/>
    <hyperlink ref="B52" r:id="rId62" display="http://mu2e-docdb.fnal.gov:8080/cgi-bin/ShowDocument?docid=4573"/>
    <hyperlink ref="B53" r:id="rId63" display="http://mu2e-docdb.fnal.gov:8080/cgi-bin/ShowDocument?docid=4574"/>
    <hyperlink ref="B54" r:id="rId64" display="http://mu2e-docdb.fnal.gov:8080/cgi-bin/ShowDocument?docid=4575"/>
    <hyperlink ref="B55" r:id="rId65" display="http://mu2e-docdb.fnal.gov:8080/cgi-bin/ShowDocument?docid=4576"/>
    <hyperlink ref="B56" r:id="rId66" display="http://mu2e-docdb.fnal.gov:8080/cgi-bin/ShowDocument?docid=4577"/>
    <hyperlink ref="B57" r:id="rId67" display="http://mu2e-docdb.fnal.gov:8080/cgi-bin/ShowDocument?docid=4578"/>
    <hyperlink ref="B58" r:id="rId68" display="http://mu2e-docdb.fnal.gov:8080/cgi-bin/ShowDocument?docid=4579"/>
    <hyperlink ref="B59" r:id="rId69" display="http://mu2e-docdb.fnal.gov:8080/cgi-bin/ShowDocument?docid=4580"/>
    <hyperlink ref="B60" r:id="rId70" display="http://mu2e-docdb.fnal.gov:8080/cgi-bin/ShowDocument?docid=4581"/>
    <hyperlink ref="B61" r:id="rId71" display="http://mu2e-docdb.fnal.gov:8080/cgi-bin/ShowDocument?docid=4582"/>
    <hyperlink ref="B62" r:id="rId72" display="http://mu2e-docdb.fnal.gov:8080/cgi-bin/ShowDocument?docid=4583"/>
    <hyperlink ref="B63" r:id="rId73" display="http://mu2e-docdb.fnal.gov:8080/cgi-bin/ShowDocument?docid=4584"/>
    <hyperlink ref="B11" r:id="rId74" display="http://mu2e-docdb.fnal.gov:8080/cgi-bin/ShowDocument?docid=4589"/>
    <hyperlink ref="B12" r:id="rId75" display="http://mu2e-docdb.fnal.gov:8080/cgi-bin/ShowDocument?docid=4590"/>
    <hyperlink ref="B13" r:id="rId76" display="http://mu2e-docdb.fnal.gov:8080/cgi-bin/ShowDocument?docid=4591"/>
    <hyperlink ref="B14" r:id="rId77" display="http://mu2e-docdb.fnal.gov:8080/cgi-bin/ShowDocument?docid=4592"/>
    <hyperlink ref="B15" r:id="rId78" display="http://mu2e-docdb.fnal.gov:8080/cgi-bin/ShowDocument?docid=4593"/>
    <hyperlink ref="B22" r:id="rId79" display="6045"/>
  </hyperlinks>
  <pageMargins left="0.75" right="0.75" top="1" bottom="1" header="0.5" footer="0.5"/>
  <pageSetup orientation="portrait" r:id="rId80"/>
  <drawing r:id="rId81"/>
  <legacyDrawing r:id="rId8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7"/>
  <sheetViews>
    <sheetView topLeftCell="A3" zoomScale="150" zoomScaleNormal="150" zoomScalePageLayoutView="150" workbookViewId="0">
      <pane ySplit="12" topLeftCell="A133" activePane="bottomLeft" state="frozenSplit"/>
      <selection activeCell="F3" sqref="F3"/>
      <selection pane="bottomLeft" activeCell="A137" sqref="A137"/>
    </sheetView>
  </sheetViews>
  <sheetFormatPr defaultColWidth="9.140625" defaultRowHeight="15" x14ac:dyDescent="0.25"/>
  <cols>
    <col min="1" max="1" width="18.7109375" customWidth="1"/>
    <col min="2" max="2" width="18.7109375" style="6" customWidth="1"/>
    <col min="4" max="6" width="25.7109375" customWidth="1"/>
    <col min="7" max="7" width="13.7109375" style="7" customWidth="1"/>
    <col min="8" max="8" width="9.140625" style="6"/>
    <col min="9" max="9" width="12.140625" style="6" customWidth="1"/>
    <col min="10" max="13" width="9.140625" style="6"/>
    <col min="14" max="14" width="15" style="7" customWidth="1"/>
    <col min="15" max="15" width="15.7109375" style="6" customWidth="1"/>
    <col min="16" max="17" width="10.42578125" style="6" customWidth="1"/>
    <col min="18" max="19" width="13.7109375" style="6" customWidth="1"/>
    <col min="20" max="20" width="11.42578125" customWidth="1"/>
    <col min="21" max="21" width="12" customWidth="1"/>
    <col min="22" max="22" width="8.28515625" customWidth="1"/>
    <col min="23" max="23" width="16" customWidth="1"/>
    <col min="24" max="24" width="11.85546875" customWidth="1"/>
    <col min="25" max="25" width="12" customWidth="1"/>
    <col min="26" max="26" width="10.140625" customWidth="1"/>
    <col min="27" max="27" width="53" customWidth="1"/>
    <col min="28" max="28" width="7.42578125" customWidth="1"/>
    <col min="30" max="30" width="9.28515625" customWidth="1"/>
  </cols>
  <sheetData>
    <row r="1" spans="1:27" s="2" customFormat="1" ht="15.75" thickBot="1" x14ac:dyDescent="0.3">
      <c r="B1" s="46"/>
      <c r="G1" s="1"/>
      <c r="H1" s="46"/>
      <c r="I1" s="46"/>
      <c r="J1" s="46"/>
      <c r="K1" s="46"/>
      <c r="L1" s="46"/>
      <c r="M1" s="46"/>
      <c r="N1" s="1"/>
      <c r="O1" s="22"/>
      <c r="P1" s="22"/>
      <c r="Q1" s="22"/>
      <c r="R1" s="22"/>
      <c r="S1" s="22"/>
      <c r="T1" s="33" t="s">
        <v>52</v>
      </c>
      <c r="U1" s="24" t="s">
        <v>49</v>
      </c>
      <c r="V1" s="24"/>
      <c r="W1" s="24"/>
      <c r="X1" s="24"/>
      <c r="Y1" s="25"/>
      <c r="Z1" s="34"/>
    </row>
    <row r="2" spans="1:27" s="2" customFormat="1" x14ac:dyDescent="0.25">
      <c r="B2" s="46"/>
      <c r="G2" s="1"/>
      <c r="H2" s="46"/>
      <c r="I2" s="46"/>
      <c r="J2" s="46"/>
      <c r="K2" s="46"/>
      <c r="L2" s="46"/>
      <c r="M2" s="46"/>
      <c r="N2" s="1"/>
      <c r="O2" s="22"/>
      <c r="P2" s="22"/>
      <c r="Q2" s="22"/>
      <c r="R2" s="22"/>
      <c r="S2" s="22"/>
    </row>
    <row r="3" spans="1:27" s="2" customFormat="1" ht="15.75" thickBot="1" x14ac:dyDescent="0.3">
      <c r="B3" s="46"/>
      <c r="G3" s="1"/>
      <c r="H3" s="46"/>
      <c r="I3" s="46"/>
      <c r="J3" s="46"/>
      <c r="K3" s="46"/>
      <c r="L3" s="46"/>
      <c r="M3" s="46"/>
      <c r="N3" s="1"/>
      <c r="O3" s="22"/>
      <c r="P3" s="22"/>
      <c r="Q3" s="22"/>
      <c r="R3" s="22"/>
      <c r="S3" s="22"/>
    </row>
    <row r="4" spans="1:27" s="3" customFormat="1" ht="23.25" customHeight="1" thickBot="1" x14ac:dyDescent="0.3">
      <c r="A4" s="378" t="s">
        <v>26</v>
      </c>
      <c r="B4" s="379"/>
      <c r="C4" s="380"/>
      <c r="D4" s="380"/>
      <c r="E4" s="82"/>
      <c r="F4" s="82"/>
      <c r="G4" s="45"/>
      <c r="H4" s="381" t="s">
        <v>54</v>
      </c>
      <c r="I4" s="381"/>
      <c r="J4" s="381"/>
      <c r="K4" s="381"/>
      <c r="L4" s="381"/>
      <c r="M4" s="381"/>
      <c r="N4" s="45" t="s">
        <v>55</v>
      </c>
      <c r="O4" s="23"/>
      <c r="P4" s="23"/>
      <c r="Q4" s="23"/>
      <c r="R4" s="23"/>
      <c r="S4" s="23"/>
      <c r="T4" s="382" t="s">
        <v>48</v>
      </c>
      <c r="U4" s="383"/>
      <c r="V4" s="383"/>
      <c r="W4" s="383"/>
      <c r="X4" s="383"/>
      <c r="Y4" s="384"/>
      <c r="Z4" s="35"/>
      <c r="AA4" s="26" t="s">
        <v>32</v>
      </c>
    </row>
    <row r="5" spans="1:27" s="4" customFormat="1" ht="83.1" customHeight="1" thickBot="1" x14ac:dyDescent="0.3">
      <c r="A5" s="39" t="s">
        <v>27</v>
      </c>
      <c r="B5" s="57" t="s">
        <v>307</v>
      </c>
      <c r="C5" s="40" t="s">
        <v>56</v>
      </c>
      <c r="D5" s="41" t="s">
        <v>28</v>
      </c>
      <c r="E5" s="41" t="s">
        <v>309</v>
      </c>
      <c r="F5" s="41" t="s">
        <v>312</v>
      </c>
      <c r="G5" s="41" t="s">
        <v>428</v>
      </c>
      <c r="H5" s="47" t="s">
        <v>30</v>
      </c>
      <c r="I5" s="76" t="s">
        <v>57</v>
      </c>
      <c r="J5" s="47" t="s">
        <v>31</v>
      </c>
      <c r="K5" s="47" t="s">
        <v>58</v>
      </c>
      <c r="L5" s="47" t="s">
        <v>545</v>
      </c>
      <c r="M5" s="47" t="s">
        <v>59</v>
      </c>
      <c r="N5" s="41" t="s">
        <v>29</v>
      </c>
      <c r="O5" s="27" t="s">
        <v>41</v>
      </c>
      <c r="P5" s="28" t="s">
        <v>42</v>
      </c>
      <c r="Q5" s="28" t="s">
        <v>43</v>
      </c>
      <c r="R5" s="28" t="s">
        <v>50</v>
      </c>
      <c r="S5" s="29" t="s">
        <v>51</v>
      </c>
      <c r="T5" s="385" t="s">
        <v>44</v>
      </c>
      <c r="U5" s="386"/>
      <c r="V5" s="81" t="s">
        <v>45</v>
      </c>
      <c r="W5" s="81" t="s">
        <v>598</v>
      </c>
      <c r="X5" s="81" t="s">
        <v>53</v>
      </c>
      <c r="Y5" s="81" t="s">
        <v>599</v>
      </c>
      <c r="Z5" s="36"/>
      <c r="AA5" s="10"/>
    </row>
    <row r="6" spans="1:27" s="2" customFormat="1" ht="30" hidden="1" x14ac:dyDescent="0.25">
      <c r="A6" s="42" t="s">
        <v>96</v>
      </c>
      <c r="B6" s="59">
        <v>3328</v>
      </c>
      <c r="C6" s="42" t="s">
        <v>61</v>
      </c>
      <c r="D6" s="43" t="s">
        <v>97</v>
      </c>
      <c r="E6" s="43" t="s">
        <v>337</v>
      </c>
      <c r="F6" s="85"/>
      <c r="G6" s="43"/>
      <c r="H6" s="75" t="s">
        <v>33</v>
      </c>
      <c r="I6" s="75" t="s">
        <v>36</v>
      </c>
      <c r="J6" s="75" t="s">
        <v>35</v>
      </c>
      <c r="K6" s="75" t="s">
        <v>35</v>
      </c>
      <c r="L6" s="5" t="s">
        <v>35</v>
      </c>
      <c r="M6" s="51">
        <v>24</v>
      </c>
      <c r="N6" s="43" t="s">
        <v>74</v>
      </c>
      <c r="O6" s="77">
        <v>0</v>
      </c>
      <c r="P6" s="78">
        <v>60</v>
      </c>
      <c r="Q6" s="73">
        <v>0.1</v>
      </c>
      <c r="R6" s="13">
        <f t="shared" ref="R6:R37" si="0">O6*Q6</f>
        <v>0</v>
      </c>
      <c r="S6" s="14">
        <f t="shared" ref="S6:S37" si="1">P6*Q6</f>
        <v>6</v>
      </c>
      <c r="T6" s="19">
        <f t="shared" ref="T6:T37" si="2">IF($Q6=0,0, IF($Q6 = 100%, 100%,$Q6-12.5%))* IF($T$1="Y", 1, IF($O6&lt;0,0,1))</f>
        <v>-2.4999999999999994E-2</v>
      </c>
      <c r="U6" s="19">
        <f t="shared" ref="U6:U37" si="3">IF($Q6=0,0, IF($Q6 = 100%, 100%,$Q6+12.5%))* IF($T$1="Y", 1, IF($O6&lt;0,0,1))</f>
        <v>0.22500000000000001</v>
      </c>
      <c r="V6" s="19">
        <f t="shared" ref="V6:V37" si="4">(U6-T6)/SQRT(12)</f>
        <v>7.216878364870323E-2</v>
      </c>
      <c r="W6" s="16">
        <f t="shared" ref="W6:Y37" si="5">W$121*$R6/$R$121  *  IF($T$1="Y", 1, IF($O6&lt;0,0,1))</f>
        <v>0</v>
      </c>
      <c r="X6" s="16">
        <f t="shared" si="5"/>
        <v>0</v>
      </c>
      <c r="Y6" s="16">
        <f t="shared" si="5"/>
        <v>0</v>
      </c>
      <c r="Z6" s="37"/>
      <c r="AA6" s="11"/>
    </row>
    <row r="7" spans="1:27" s="70" customFormat="1" ht="30" hidden="1" x14ac:dyDescent="0.25">
      <c r="A7" s="42" t="s">
        <v>0</v>
      </c>
      <c r="B7" s="59">
        <v>3329</v>
      </c>
      <c r="C7" s="42" t="s">
        <v>61</v>
      </c>
      <c r="D7" s="89" t="s">
        <v>1</v>
      </c>
      <c r="E7" s="89"/>
      <c r="F7" s="88"/>
      <c r="G7" s="43" t="s">
        <v>63</v>
      </c>
      <c r="H7" s="5" t="s">
        <v>33</v>
      </c>
      <c r="I7" s="5" t="s">
        <v>34</v>
      </c>
      <c r="J7" s="5" t="s">
        <v>35</v>
      </c>
      <c r="K7" s="5" t="s">
        <v>34</v>
      </c>
      <c r="L7" s="5" t="s">
        <v>36</v>
      </c>
      <c r="M7" s="51">
        <v>24</v>
      </c>
      <c r="N7" s="43" t="s">
        <v>2</v>
      </c>
      <c r="O7" s="16">
        <v>0</v>
      </c>
      <c r="P7" s="8"/>
      <c r="Q7" s="15">
        <v>0.5</v>
      </c>
      <c r="R7" s="16">
        <f t="shared" si="0"/>
        <v>0</v>
      </c>
      <c r="S7" s="8">
        <f t="shared" si="1"/>
        <v>0</v>
      </c>
      <c r="T7" s="19">
        <f t="shared" si="2"/>
        <v>0.375</v>
      </c>
      <c r="U7" s="19">
        <f t="shared" si="3"/>
        <v>0.625</v>
      </c>
      <c r="V7" s="19">
        <f t="shared" si="4"/>
        <v>7.216878364870323E-2</v>
      </c>
      <c r="W7" s="16">
        <f t="shared" si="5"/>
        <v>0</v>
      </c>
      <c r="X7" s="16">
        <f t="shared" si="5"/>
        <v>0</v>
      </c>
      <c r="Y7" s="16">
        <f t="shared" si="5"/>
        <v>0</v>
      </c>
      <c r="Z7" s="37"/>
      <c r="AA7" s="11"/>
    </row>
    <row r="8" spans="1:27" s="2" customFormat="1" ht="30" hidden="1" x14ac:dyDescent="0.25">
      <c r="A8" s="42" t="s">
        <v>123</v>
      </c>
      <c r="B8" s="59">
        <v>3330</v>
      </c>
      <c r="C8" s="42" t="s">
        <v>61</v>
      </c>
      <c r="D8" s="43" t="s">
        <v>124</v>
      </c>
      <c r="E8" s="43" t="s">
        <v>338</v>
      </c>
      <c r="F8" s="85">
        <v>10000</v>
      </c>
      <c r="G8" s="43"/>
      <c r="H8" s="5" t="s">
        <v>36</v>
      </c>
      <c r="I8" s="5" t="s">
        <v>35</v>
      </c>
      <c r="J8" s="5" t="s">
        <v>33</v>
      </c>
      <c r="K8" s="5" t="s">
        <v>35</v>
      </c>
      <c r="L8" s="5" t="s">
        <v>35</v>
      </c>
      <c r="M8" s="52">
        <v>10</v>
      </c>
      <c r="N8" s="43" t="s">
        <v>125</v>
      </c>
      <c r="O8" s="16">
        <v>100000</v>
      </c>
      <c r="P8" s="8"/>
      <c r="Q8" s="15">
        <v>0.5</v>
      </c>
      <c r="R8" s="16">
        <f t="shared" si="0"/>
        <v>50000</v>
      </c>
      <c r="S8" s="8">
        <f t="shared" si="1"/>
        <v>0</v>
      </c>
      <c r="T8" s="19">
        <f t="shared" si="2"/>
        <v>0.375</v>
      </c>
      <c r="U8" s="19">
        <f t="shared" si="3"/>
        <v>0.625</v>
      </c>
      <c r="V8" s="19">
        <f t="shared" si="4"/>
        <v>7.216878364870323E-2</v>
      </c>
      <c r="W8" s="16">
        <f t="shared" si="5"/>
        <v>87.95</v>
      </c>
      <c r="X8" s="16">
        <f t="shared" si="5"/>
        <v>91</v>
      </c>
      <c r="Y8" s="16">
        <f t="shared" si="5"/>
        <v>95.5</v>
      </c>
      <c r="Z8" s="37"/>
      <c r="AA8" s="11"/>
    </row>
    <row r="9" spans="1:27" s="2" customFormat="1" ht="30" hidden="1" x14ac:dyDescent="0.25">
      <c r="A9" s="42" t="s">
        <v>83</v>
      </c>
      <c r="B9" s="59">
        <v>3331</v>
      </c>
      <c r="C9" s="42" t="s">
        <v>61</v>
      </c>
      <c r="D9" s="43" t="s">
        <v>84</v>
      </c>
      <c r="E9" s="43" t="s">
        <v>339</v>
      </c>
      <c r="F9" s="85"/>
      <c r="G9" s="43"/>
      <c r="H9" s="5" t="s">
        <v>36</v>
      </c>
      <c r="I9" s="5" t="s">
        <v>35</v>
      </c>
      <c r="J9" s="5" t="s">
        <v>35</v>
      </c>
      <c r="K9" s="5" t="s">
        <v>64</v>
      </c>
      <c r="L9" s="5" t="s">
        <v>35</v>
      </c>
      <c r="M9" s="51">
        <v>24</v>
      </c>
      <c r="N9" s="43" t="s">
        <v>85</v>
      </c>
      <c r="O9" s="71">
        <v>185000</v>
      </c>
      <c r="P9" s="72">
        <v>0</v>
      </c>
      <c r="Q9" s="73">
        <v>0.1</v>
      </c>
      <c r="R9" s="16">
        <f t="shared" si="0"/>
        <v>18500</v>
      </c>
      <c r="S9" s="8">
        <f t="shared" si="1"/>
        <v>0</v>
      </c>
      <c r="T9" s="19">
        <f t="shared" si="2"/>
        <v>-2.4999999999999994E-2</v>
      </c>
      <c r="U9" s="19">
        <f t="shared" si="3"/>
        <v>0.22500000000000001</v>
      </c>
      <c r="V9" s="19">
        <f t="shared" si="4"/>
        <v>7.216878364870323E-2</v>
      </c>
      <c r="W9" s="16">
        <f t="shared" si="5"/>
        <v>32.541499999999999</v>
      </c>
      <c r="X9" s="16">
        <f t="shared" si="5"/>
        <v>33.67</v>
      </c>
      <c r="Y9" s="16">
        <f t="shared" si="5"/>
        <v>35.335000000000001</v>
      </c>
      <c r="Z9" s="37"/>
      <c r="AA9" s="11"/>
    </row>
    <row r="10" spans="1:27" s="2" customFormat="1" ht="45" hidden="1" x14ac:dyDescent="0.25">
      <c r="A10" s="42" t="s">
        <v>227</v>
      </c>
      <c r="B10" s="59"/>
      <c r="C10" s="42" t="s">
        <v>61</v>
      </c>
      <c r="D10" s="43" t="s">
        <v>228</v>
      </c>
      <c r="E10" s="43"/>
      <c r="F10" s="85"/>
      <c r="G10" s="43"/>
      <c r="H10" s="5" t="s">
        <v>36</v>
      </c>
      <c r="I10" s="5" t="s">
        <v>35</v>
      </c>
      <c r="J10" s="5" t="s">
        <v>36</v>
      </c>
      <c r="K10" s="5" t="s">
        <v>35</v>
      </c>
      <c r="L10" s="5" t="s">
        <v>35</v>
      </c>
      <c r="M10" s="53">
        <v>3</v>
      </c>
      <c r="N10" s="43" t="s">
        <v>229</v>
      </c>
      <c r="O10" s="16"/>
      <c r="P10" s="8"/>
      <c r="Q10" s="15"/>
      <c r="R10" s="16">
        <f t="shared" si="0"/>
        <v>0</v>
      </c>
      <c r="S10" s="8">
        <f t="shared" si="1"/>
        <v>0</v>
      </c>
      <c r="T10" s="19">
        <f t="shared" si="2"/>
        <v>0</v>
      </c>
      <c r="U10" s="19">
        <f t="shared" si="3"/>
        <v>0</v>
      </c>
      <c r="V10" s="19">
        <f t="shared" si="4"/>
        <v>0</v>
      </c>
      <c r="W10" s="16">
        <f t="shared" si="5"/>
        <v>0</v>
      </c>
      <c r="X10" s="16">
        <f t="shared" si="5"/>
        <v>0</v>
      </c>
      <c r="Y10" s="16">
        <f t="shared" si="5"/>
        <v>0</v>
      </c>
      <c r="Z10" s="37"/>
      <c r="AA10" s="11"/>
    </row>
    <row r="11" spans="1:27" s="2" customFormat="1" ht="30" hidden="1" x14ac:dyDescent="0.25">
      <c r="A11" s="42" t="s">
        <v>94</v>
      </c>
      <c r="B11" s="59">
        <v>3332</v>
      </c>
      <c r="C11" s="42" t="s">
        <v>61</v>
      </c>
      <c r="D11" s="89" t="s">
        <v>95</v>
      </c>
      <c r="E11" s="89"/>
      <c r="F11" s="88"/>
      <c r="G11" s="43" t="s">
        <v>63</v>
      </c>
      <c r="H11" s="5" t="s">
        <v>36</v>
      </c>
      <c r="I11" s="5" t="s">
        <v>35</v>
      </c>
      <c r="J11" s="5" t="s">
        <v>35</v>
      </c>
      <c r="K11" s="5" t="s">
        <v>64</v>
      </c>
      <c r="L11" s="5" t="s">
        <v>35</v>
      </c>
      <c r="M11" s="51">
        <v>24</v>
      </c>
      <c r="N11" s="43" t="s">
        <v>92</v>
      </c>
      <c r="O11" s="16">
        <v>0</v>
      </c>
      <c r="P11" s="8"/>
      <c r="Q11" s="15">
        <v>0.17</v>
      </c>
      <c r="R11" s="16">
        <f t="shared" si="0"/>
        <v>0</v>
      </c>
      <c r="S11" s="8">
        <f t="shared" si="1"/>
        <v>0</v>
      </c>
      <c r="T11" s="19">
        <f t="shared" si="2"/>
        <v>4.5000000000000012E-2</v>
      </c>
      <c r="U11" s="19">
        <f t="shared" si="3"/>
        <v>0.29500000000000004</v>
      </c>
      <c r="V11" s="19">
        <f t="shared" si="4"/>
        <v>7.216878364870323E-2</v>
      </c>
      <c r="W11" s="16">
        <f t="shared" si="5"/>
        <v>0</v>
      </c>
      <c r="X11" s="16">
        <f t="shared" si="5"/>
        <v>0</v>
      </c>
      <c r="Y11" s="16">
        <f t="shared" si="5"/>
        <v>0</v>
      </c>
      <c r="Z11" s="37"/>
      <c r="AA11" s="11"/>
    </row>
    <row r="12" spans="1:27" s="2" customFormat="1" ht="30" hidden="1" x14ac:dyDescent="0.25">
      <c r="A12" s="42" t="s">
        <v>90</v>
      </c>
      <c r="B12" s="59">
        <v>3333</v>
      </c>
      <c r="C12" s="42" t="s">
        <v>61</v>
      </c>
      <c r="D12" s="43" t="s">
        <v>91</v>
      </c>
      <c r="E12" s="43" t="s">
        <v>340</v>
      </c>
      <c r="F12" s="85">
        <v>20000</v>
      </c>
      <c r="G12" s="43"/>
      <c r="H12" s="5" t="s">
        <v>36</v>
      </c>
      <c r="I12" s="5" t="s">
        <v>35</v>
      </c>
      <c r="J12" s="5" t="s">
        <v>64</v>
      </c>
      <c r="K12" s="5" t="s">
        <v>35</v>
      </c>
      <c r="L12" s="5" t="s">
        <v>35</v>
      </c>
      <c r="M12" s="51">
        <v>24</v>
      </c>
      <c r="N12" s="43" t="s">
        <v>92</v>
      </c>
      <c r="O12" s="16">
        <v>2000000</v>
      </c>
      <c r="P12" s="8"/>
      <c r="Q12" s="15">
        <v>0.1</v>
      </c>
      <c r="R12" s="16">
        <f t="shared" si="0"/>
        <v>200000</v>
      </c>
      <c r="S12" s="8">
        <f t="shared" si="1"/>
        <v>0</v>
      </c>
      <c r="T12" s="19">
        <f t="shared" si="2"/>
        <v>-2.4999999999999994E-2</v>
      </c>
      <c r="U12" s="19">
        <f t="shared" si="3"/>
        <v>0.22500000000000001</v>
      </c>
      <c r="V12" s="19">
        <f t="shared" si="4"/>
        <v>7.216878364870323E-2</v>
      </c>
      <c r="W12" s="16">
        <f t="shared" si="5"/>
        <v>351.8</v>
      </c>
      <c r="X12" s="16">
        <f t="shared" si="5"/>
        <v>364</v>
      </c>
      <c r="Y12" s="16">
        <f t="shared" si="5"/>
        <v>382</v>
      </c>
      <c r="Z12" s="37"/>
      <c r="AA12" s="11"/>
    </row>
    <row r="13" spans="1:27" s="2" customFormat="1" ht="45" hidden="1" x14ac:dyDescent="0.25">
      <c r="A13" s="42" t="s">
        <v>120</v>
      </c>
      <c r="B13" s="59">
        <v>3334</v>
      </c>
      <c r="C13" s="42" t="s">
        <v>121</v>
      </c>
      <c r="D13" s="94" t="s">
        <v>122</v>
      </c>
      <c r="E13" s="94"/>
      <c r="F13" s="93"/>
      <c r="G13" s="43" t="s">
        <v>341</v>
      </c>
      <c r="H13" s="5" t="s">
        <v>33</v>
      </c>
      <c r="I13" s="5" t="s">
        <v>35</v>
      </c>
      <c r="J13" s="5" t="s">
        <v>33</v>
      </c>
      <c r="K13" s="5" t="s">
        <v>35</v>
      </c>
      <c r="L13" s="5" t="s">
        <v>35</v>
      </c>
      <c r="M13" s="52">
        <v>10</v>
      </c>
      <c r="N13" s="43" t="s">
        <v>68</v>
      </c>
      <c r="O13" s="16">
        <v>-134000</v>
      </c>
      <c r="P13" s="8"/>
      <c r="Q13" s="9">
        <v>0</v>
      </c>
      <c r="R13" s="16">
        <f t="shared" si="0"/>
        <v>0</v>
      </c>
      <c r="S13" s="8">
        <f t="shared" si="1"/>
        <v>0</v>
      </c>
      <c r="T13" s="19">
        <f t="shared" si="2"/>
        <v>0</v>
      </c>
      <c r="U13" s="19">
        <f t="shared" si="3"/>
        <v>0</v>
      </c>
      <c r="V13" s="19">
        <f t="shared" si="4"/>
        <v>0</v>
      </c>
      <c r="W13" s="16">
        <f t="shared" si="5"/>
        <v>0</v>
      </c>
      <c r="X13" s="16">
        <f t="shared" si="5"/>
        <v>0</v>
      </c>
      <c r="Y13" s="16">
        <f t="shared" si="5"/>
        <v>0</v>
      </c>
      <c r="Z13" s="37"/>
      <c r="AA13" s="11"/>
    </row>
    <row r="14" spans="1:27" s="2" customFormat="1" ht="30" hidden="1" x14ac:dyDescent="0.25">
      <c r="A14" s="42" t="s">
        <v>80</v>
      </c>
      <c r="B14" s="59">
        <v>3335</v>
      </c>
      <c r="C14" s="42" t="s">
        <v>61</v>
      </c>
      <c r="D14" s="89" t="s">
        <v>81</v>
      </c>
      <c r="E14" s="89" t="s">
        <v>342</v>
      </c>
      <c r="F14" s="88"/>
      <c r="G14" s="43" t="s">
        <v>63</v>
      </c>
      <c r="H14" s="5" t="s">
        <v>33</v>
      </c>
      <c r="I14" s="5" t="s">
        <v>35</v>
      </c>
      <c r="J14" s="5" t="s">
        <v>35</v>
      </c>
      <c r="K14" s="5" t="s">
        <v>34</v>
      </c>
      <c r="L14" s="5" t="s">
        <v>35</v>
      </c>
      <c r="M14" s="51">
        <v>24</v>
      </c>
      <c r="N14" s="43" t="s">
        <v>82</v>
      </c>
      <c r="O14" s="16"/>
      <c r="P14" s="8"/>
      <c r="Q14" s="15">
        <v>0.5</v>
      </c>
      <c r="R14" s="16">
        <f t="shared" si="0"/>
        <v>0</v>
      </c>
      <c r="S14" s="8">
        <f t="shared" si="1"/>
        <v>0</v>
      </c>
      <c r="T14" s="19">
        <f t="shared" si="2"/>
        <v>0.375</v>
      </c>
      <c r="U14" s="19">
        <f t="shared" si="3"/>
        <v>0.625</v>
      </c>
      <c r="V14" s="19">
        <f t="shared" si="4"/>
        <v>7.216878364870323E-2</v>
      </c>
      <c r="W14" s="16">
        <f t="shared" si="5"/>
        <v>0</v>
      </c>
      <c r="X14" s="16">
        <f t="shared" si="5"/>
        <v>0</v>
      </c>
      <c r="Y14" s="16">
        <f t="shared" si="5"/>
        <v>0</v>
      </c>
      <c r="Z14" s="37"/>
      <c r="AA14" s="11"/>
    </row>
    <row r="15" spans="1:27" s="2" customFormat="1" ht="75" x14ac:dyDescent="0.25">
      <c r="A15" s="42" t="s">
        <v>290</v>
      </c>
      <c r="B15" s="59"/>
      <c r="C15" s="42" t="s">
        <v>61</v>
      </c>
      <c r="D15" s="44" t="s">
        <v>291</v>
      </c>
      <c r="E15" s="44"/>
      <c r="F15" s="86"/>
      <c r="G15" s="43" t="s">
        <v>253</v>
      </c>
      <c r="H15" s="5" t="s">
        <v>36</v>
      </c>
      <c r="I15" s="5" t="s">
        <v>35</v>
      </c>
      <c r="J15" s="5" t="s">
        <v>35</v>
      </c>
      <c r="K15" s="5" t="s">
        <v>33</v>
      </c>
      <c r="L15" s="5" t="s">
        <v>35</v>
      </c>
      <c r="M15" s="5">
        <v>0</v>
      </c>
      <c r="N15" s="43" t="s">
        <v>292</v>
      </c>
      <c r="O15" s="16"/>
      <c r="P15" s="8"/>
      <c r="Q15" s="15"/>
      <c r="R15" s="16">
        <f t="shared" si="0"/>
        <v>0</v>
      </c>
      <c r="S15" s="8">
        <f t="shared" si="1"/>
        <v>0</v>
      </c>
      <c r="T15" s="19">
        <f t="shared" si="2"/>
        <v>0</v>
      </c>
      <c r="U15" s="19">
        <f t="shared" si="3"/>
        <v>0</v>
      </c>
      <c r="V15" s="19">
        <f t="shared" si="4"/>
        <v>0</v>
      </c>
      <c r="W15" s="16">
        <f t="shared" si="5"/>
        <v>0</v>
      </c>
      <c r="X15" s="16">
        <f t="shared" si="5"/>
        <v>0</v>
      </c>
      <c r="Y15" s="16">
        <f t="shared" si="5"/>
        <v>0</v>
      </c>
      <c r="Z15" s="37"/>
      <c r="AA15" s="11"/>
    </row>
    <row r="16" spans="1:27" s="2" customFormat="1" ht="75" x14ac:dyDescent="0.25">
      <c r="A16" s="42" t="s">
        <v>263</v>
      </c>
      <c r="B16" s="59"/>
      <c r="C16" s="42" t="s">
        <v>61</v>
      </c>
      <c r="D16" s="44" t="s">
        <v>157</v>
      </c>
      <c r="E16" s="44"/>
      <c r="F16" s="86"/>
      <c r="G16" s="43" t="s">
        <v>253</v>
      </c>
      <c r="H16" s="5" t="s">
        <v>33</v>
      </c>
      <c r="I16" s="5" t="s">
        <v>35</v>
      </c>
      <c r="J16" s="5" t="s">
        <v>33</v>
      </c>
      <c r="K16" s="5" t="s">
        <v>35</v>
      </c>
      <c r="L16" s="5" t="s">
        <v>35</v>
      </c>
      <c r="M16" s="5">
        <v>0</v>
      </c>
      <c r="N16" s="43" t="s">
        <v>82</v>
      </c>
      <c r="O16" s="16"/>
      <c r="P16" s="8"/>
      <c r="Q16" s="9"/>
      <c r="R16" s="16">
        <f t="shared" si="0"/>
        <v>0</v>
      </c>
      <c r="S16" s="8">
        <f t="shared" si="1"/>
        <v>0</v>
      </c>
      <c r="T16" s="19">
        <f t="shared" si="2"/>
        <v>0</v>
      </c>
      <c r="U16" s="19">
        <f t="shared" si="3"/>
        <v>0</v>
      </c>
      <c r="V16" s="19">
        <f t="shared" si="4"/>
        <v>0</v>
      </c>
      <c r="W16" s="16">
        <f t="shared" si="5"/>
        <v>0</v>
      </c>
      <c r="X16" s="16">
        <f t="shared" si="5"/>
        <v>0</v>
      </c>
      <c r="Y16" s="16">
        <f t="shared" si="5"/>
        <v>0</v>
      </c>
      <c r="Z16" s="37"/>
      <c r="AA16" s="11"/>
    </row>
    <row r="17" spans="1:27" s="2" customFormat="1" ht="30" x14ac:dyDescent="0.25">
      <c r="A17" s="42" t="s">
        <v>256</v>
      </c>
      <c r="B17" s="59"/>
      <c r="C17" s="42" t="s">
        <v>61</v>
      </c>
      <c r="D17" s="44" t="s">
        <v>257</v>
      </c>
      <c r="E17" s="44"/>
      <c r="F17" s="86"/>
      <c r="G17" s="43" t="s">
        <v>253</v>
      </c>
      <c r="H17" s="5" t="s">
        <v>36</v>
      </c>
      <c r="I17" s="5" t="s">
        <v>35</v>
      </c>
      <c r="J17" s="5" t="s">
        <v>36</v>
      </c>
      <c r="K17" s="5" t="s">
        <v>35</v>
      </c>
      <c r="L17" s="5" t="s">
        <v>35</v>
      </c>
      <c r="M17" s="5">
        <v>0</v>
      </c>
      <c r="N17" s="43" t="s">
        <v>258</v>
      </c>
      <c r="O17" s="16"/>
      <c r="P17" s="8"/>
      <c r="Q17" s="15"/>
      <c r="R17" s="16">
        <f t="shared" si="0"/>
        <v>0</v>
      </c>
      <c r="S17" s="8">
        <f t="shared" si="1"/>
        <v>0</v>
      </c>
      <c r="T17" s="19">
        <f t="shared" si="2"/>
        <v>0</v>
      </c>
      <c r="U17" s="19">
        <f t="shared" si="3"/>
        <v>0</v>
      </c>
      <c r="V17" s="19">
        <f t="shared" si="4"/>
        <v>0</v>
      </c>
      <c r="W17" s="16">
        <f t="shared" si="5"/>
        <v>0</v>
      </c>
      <c r="X17" s="16">
        <f t="shared" si="5"/>
        <v>0</v>
      </c>
      <c r="Y17" s="16">
        <f t="shared" si="5"/>
        <v>0</v>
      </c>
      <c r="Z17" s="37"/>
      <c r="AA17" s="11"/>
    </row>
    <row r="18" spans="1:27" s="2" customFormat="1" ht="60" x14ac:dyDescent="0.25">
      <c r="A18" s="42" t="s">
        <v>77</v>
      </c>
      <c r="B18" s="59">
        <v>3336</v>
      </c>
      <c r="C18" s="42" t="s">
        <v>61</v>
      </c>
      <c r="D18" s="44" t="s">
        <v>78</v>
      </c>
      <c r="E18" s="44"/>
      <c r="F18" s="86" t="s">
        <v>343</v>
      </c>
      <c r="G18" s="43" t="s">
        <v>253</v>
      </c>
      <c r="H18" s="5" t="s">
        <v>33</v>
      </c>
      <c r="I18" s="5" t="s">
        <v>35</v>
      </c>
      <c r="J18" s="5" t="s">
        <v>35</v>
      </c>
      <c r="K18" s="5" t="s">
        <v>34</v>
      </c>
      <c r="L18" s="5" t="s">
        <v>36</v>
      </c>
      <c r="M18" s="51">
        <v>24</v>
      </c>
      <c r="N18" s="43" t="s">
        <v>79</v>
      </c>
      <c r="O18" s="16"/>
      <c r="P18" s="8"/>
      <c r="Q18" s="9">
        <v>0.5</v>
      </c>
      <c r="R18" s="16">
        <f t="shared" si="0"/>
        <v>0</v>
      </c>
      <c r="S18" s="8">
        <f t="shared" si="1"/>
        <v>0</v>
      </c>
      <c r="T18" s="19">
        <f t="shared" si="2"/>
        <v>0.375</v>
      </c>
      <c r="U18" s="19">
        <f t="shared" si="3"/>
        <v>0.625</v>
      </c>
      <c r="V18" s="19">
        <f t="shared" si="4"/>
        <v>7.216878364870323E-2</v>
      </c>
      <c r="W18" s="16">
        <f t="shared" si="5"/>
        <v>0</v>
      </c>
      <c r="X18" s="16">
        <f t="shared" si="5"/>
        <v>0</v>
      </c>
      <c r="Y18" s="16">
        <f t="shared" si="5"/>
        <v>0</v>
      </c>
      <c r="Z18" s="37"/>
      <c r="AA18" s="11"/>
    </row>
    <row r="19" spans="1:27" s="2" customFormat="1" ht="45" x14ac:dyDescent="0.25">
      <c r="A19" s="42" t="s">
        <v>285</v>
      </c>
      <c r="B19" s="59"/>
      <c r="C19" s="42" t="s">
        <v>61</v>
      </c>
      <c r="D19" s="44" t="s">
        <v>286</v>
      </c>
      <c r="E19" s="44"/>
      <c r="F19" s="86"/>
      <c r="G19" s="43" t="s">
        <v>253</v>
      </c>
      <c r="H19" s="5" t="s">
        <v>36</v>
      </c>
      <c r="I19" s="5" t="s">
        <v>35</v>
      </c>
      <c r="J19" s="5" t="s">
        <v>35</v>
      </c>
      <c r="K19" s="5" t="s">
        <v>33</v>
      </c>
      <c r="L19" s="5" t="s">
        <v>35</v>
      </c>
      <c r="M19" s="5">
        <v>0</v>
      </c>
      <c r="N19" s="43" t="s">
        <v>287</v>
      </c>
      <c r="O19" s="16"/>
      <c r="P19" s="8"/>
      <c r="Q19" s="15"/>
      <c r="R19" s="16">
        <f t="shared" si="0"/>
        <v>0</v>
      </c>
      <c r="S19" s="8">
        <f t="shared" si="1"/>
        <v>0</v>
      </c>
      <c r="T19" s="19">
        <f t="shared" si="2"/>
        <v>0</v>
      </c>
      <c r="U19" s="19">
        <f t="shared" si="3"/>
        <v>0</v>
      </c>
      <c r="V19" s="19">
        <f t="shared" si="4"/>
        <v>0</v>
      </c>
      <c r="W19" s="16">
        <f t="shared" si="5"/>
        <v>0</v>
      </c>
      <c r="X19" s="16">
        <f t="shared" si="5"/>
        <v>0</v>
      </c>
      <c r="Y19" s="16">
        <f t="shared" si="5"/>
        <v>0</v>
      </c>
      <c r="Z19" s="37"/>
      <c r="AA19" s="11"/>
    </row>
    <row r="20" spans="1:27" s="2" customFormat="1" ht="30" hidden="1" x14ac:dyDescent="0.25">
      <c r="A20" s="42" t="s">
        <v>236</v>
      </c>
      <c r="B20" s="59">
        <v>3337</v>
      </c>
      <c r="C20" s="42" t="s">
        <v>121</v>
      </c>
      <c r="D20" s="94" t="s">
        <v>237</v>
      </c>
      <c r="E20" s="94"/>
      <c r="F20" s="93"/>
      <c r="G20" s="43" t="s">
        <v>341</v>
      </c>
      <c r="H20" s="5" t="s">
        <v>33</v>
      </c>
      <c r="I20" s="5" t="s">
        <v>35</v>
      </c>
      <c r="J20" s="5" t="s">
        <v>155</v>
      </c>
      <c r="K20" s="5" t="s">
        <v>35</v>
      </c>
      <c r="L20" s="5" t="s">
        <v>35</v>
      </c>
      <c r="M20" s="53">
        <v>3</v>
      </c>
      <c r="N20" s="43" t="s">
        <v>68</v>
      </c>
      <c r="O20" s="16">
        <v>13000</v>
      </c>
      <c r="P20" s="8"/>
      <c r="Q20" s="15"/>
      <c r="R20" s="16">
        <f t="shared" si="0"/>
        <v>0</v>
      </c>
      <c r="S20" s="8">
        <f t="shared" si="1"/>
        <v>0</v>
      </c>
      <c r="T20" s="19">
        <f t="shared" si="2"/>
        <v>0</v>
      </c>
      <c r="U20" s="19">
        <f t="shared" si="3"/>
        <v>0</v>
      </c>
      <c r="V20" s="19">
        <f t="shared" si="4"/>
        <v>0</v>
      </c>
      <c r="W20" s="16">
        <f t="shared" si="5"/>
        <v>0</v>
      </c>
      <c r="X20" s="16">
        <f t="shared" si="5"/>
        <v>0</v>
      </c>
      <c r="Y20" s="16">
        <f t="shared" si="5"/>
        <v>0</v>
      </c>
      <c r="Z20" s="37"/>
      <c r="AA20" s="11"/>
    </row>
    <row r="21" spans="1:27" s="2" customFormat="1" ht="30" hidden="1" x14ac:dyDescent="0.25">
      <c r="A21" s="60" t="s">
        <v>66</v>
      </c>
      <c r="B21" s="61">
        <v>3338</v>
      </c>
      <c r="C21" s="60" t="s">
        <v>61</v>
      </c>
      <c r="D21" s="98" t="s">
        <v>67</v>
      </c>
      <c r="E21" s="98"/>
      <c r="F21" s="99"/>
      <c r="G21" s="62" t="s">
        <v>308</v>
      </c>
      <c r="H21" s="63" t="s">
        <v>33</v>
      </c>
      <c r="I21" s="63" t="s">
        <v>35</v>
      </c>
      <c r="J21" s="63" t="s">
        <v>64</v>
      </c>
      <c r="K21" s="63" t="s">
        <v>35</v>
      </c>
      <c r="L21" s="63" t="s">
        <v>35</v>
      </c>
      <c r="M21" s="64">
        <v>0</v>
      </c>
      <c r="N21" s="62" t="s">
        <v>68</v>
      </c>
      <c r="O21" s="65">
        <v>0</v>
      </c>
      <c r="P21" s="66"/>
      <c r="Q21" s="79">
        <v>0</v>
      </c>
      <c r="R21" s="65">
        <f t="shared" si="0"/>
        <v>0</v>
      </c>
      <c r="S21" s="66">
        <f t="shared" si="1"/>
        <v>0</v>
      </c>
      <c r="T21" s="67">
        <f t="shared" si="2"/>
        <v>0</v>
      </c>
      <c r="U21" s="67">
        <f t="shared" si="3"/>
        <v>0</v>
      </c>
      <c r="V21" s="67">
        <f t="shared" si="4"/>
        <v>0</v>
      </c>
      <c r="W21" s="65">
        <f t="shared" si="5"/>
        <v>0</v>
      </c>
      <c r="X21" s="65">
        <f t="shared" si="5"/>
        <v>0</v>
      </c>
      <c r="Y21" s="65">
        <f t="shared" si="5"/>
        <v>0</v>
      </c>
      <c r="Z21" s="68"/>
      <c r="AA21" s="69"/>
    </row>
    <row r="22" spans="1:27" s="2" customFormat="1" ht="30" hidden="1" x14ac:dyDescent="0.25">
      <c r="A22" s="42" t="s">
        <v>219</v>
      </c>
      <c r="B22" s="59">
        <v>3339</v>
      </c>
      <c r="C22" s="42" t="s">
        <v>121</v>
      </c>
      <c r="D22" s="94" t="s">
        <v>220</v>
      </c>
      <c r="E22" s="94"/>
      <c r="F22" s="93"/>
      <c r="G22" s="43" t="s">
        <v>341</v>
      </c>
      <c r="H22" s="5" t="s">
        <v>36</v>
      </c>
      <c r="I22" s="5" t="s">
        <v>35</v>
      </c>
      <c r="J22" s="5" t="s">
        <v>36</v>
      </c>
      <c r="K22" s="5" t="s">
        <v>35</v>
      </c>
      <c r="L22" s="5" t="s">
        <v>35</v>
      </c>
      <c r="M22" s="53">
        <v>3</v>
      </c>
      <c r="N22" s="43" t="s">
        <v>68</v>
      </c>
      <c r="O22" s="16">
        <v>30000</v>
      </c>
      <c r="P22" s="8"/>
      <c r="Q22" s="9"/>
      <c r="R22" s="16">
        <f t="shared" si="0"/>
        <v>0</v>
      </c>
      <c r="S22" s="8">
        <f t="shared" si="1"/>
        <v>0</v>
      </c>
      <c r="T22" s="19">
        <f t="shared" si="2"/>
        <v>0</v>
      </c>
      <c r="U22" s="19">
        <f t="shared" si="3"/>
        <v>0</v>
      </c>
      <c r="V22" s="19">
        <f t="shared" si="4"/>
        <v>0</v>
      </c>
      <c r="W22" s="16">
        <f t="shared" si="5"/>
        <v>0</v>
      </c>
      <c r="X22" s="16">
        <f t="shared" si="5"/>
        <v>0</v>
      </c>
      <c r="Y22" s="16">
        <f t="shared" si="5"/>
        <v>0</v>
      </c>
      <c r="Z22" s="37"/>
      <c r="AA22" s="11"/>
    </row>
    <row r="23" spans="1:27" s="2" customFormat="1" ht="30" x14ac:dyDescent="0.25">
      <c r="A23" s="42" t="s">
        <v>281</v>
      </c>
      <c r="B23" s="59"/>
      <c r="C23" s="42" t="s">
        <v>61</v>
      </c>
      <c r="D23" s="44" t="s">
        <v>282</v>
      </c>
      <c r="E23" s="44"/>
      <c r="F23" s="86"/>
      <c r="G23" s="43" t="s">
        <v>253</v>
      </c>
      <c r="H23" s="5" t="s">
        <v>33</v>
      </c>
      <c r="I23" s="5" t="s">
        <v>35</v>
      </c>
      <c r="J23" s="5" t="s">
        <v>33</v>
      </c>
      <c r="K23" s="5" t="s">
        <v>35</v>
      </c>
      <c r="L23" s="5" t="s">
        <v>35</v>
      </c>
      <c r="M23" s="5">
        <v>0</v>
      </c>
      <c r="N23" s="43" t="s">
        <v>68</v>
      </c>
      <c r="O23" s="16"/>
      <c r="P23" s="8"/>
      <c r="Q23" s="9"/>
      <c r="R23" s="16">
        <f t="shared" si="0"/>
        <v>0</v>
      </c>
      <c r="S23" s="8">
        <f t="shared" si="1"/>
        <v>0</v>
      </c>
      <c r="T23" s="19">
        <f t="shared" si="2"/>
        <v>0</v>
      </c>
      <c r="U23" s="19">
        <f t="shared" si="3"/>
        <v>0</v>
      </c>
      <c r="V23" s="19">
        <f t="shared" si="4"/>
        <v>0</v>
      </c>
      <c r="W23" s="16">
        <f t="shared" si="5"/>
        <v>0</v>
      </c>
      <c r="X23" s="16">
        <f t="shared" si="5"/>
        <v>0</v>
      </c>
      <c r="Y23" s="16">
        <f t="shared" si="5"/>
        <v>0</v>
      </c>
      <c r="Z23" s="37"/>
      <c r="AA23" s="11"/>
    </row>
    <row r="24" spans="1:27" s="2" customFormat="1" ht="30" hidden="1" x14ac:dyDescent="0.25">
      <c r="A24" s="42" t="s">
        <v>223</v>
      </c>
      <c r="B24" s="59">
        <v>3340</v>
      </c>
      <c r="C24" s="42" t="s">
        <v>121</v>
      </c>
      <c r="D24" s="94" t="s">
        <v>224</v>
      </c>
      <c r="E24" s="94"/>
      <c r="F24" s="93"/>
      <c r="G24" s="43" t="s">
        <v>341</v>
      </c>
      <c r="H24" s="5" t="s">
        <v>36</v>
      </c>
      <c r="I24" s="5" t="s">
        <v>35</v>
      </c>
      <c r="J24" s="5" t="s">
        <v>36</v>
      </c>
      <c r="K24" s="5" t="s">
        <v>35</v>
      </c>
      <c r="L24" s="5" t="s">
        <v>35</v>
      </c>
      <c r="M24" s="53">
        <v>3</v>
      </c>
      <c r="N24" s="43" t="s">
        <v>68</v>
      </c>
      <c r="O24" s="16">
        <v>200000</v>
      </c>
      <c r="P24" s="8"/>
      <c r="Q24" s="9"/>
      <c r="R24" s="16">
        <f t="shared" si="0"/>
        <v>0</v>
      </c>
      <c r="S24" s="8">
        <f t="shared" si="1"/>
        <v>0</v>
      </c>
      <c r="T24" s="19">
        <f t="shared" si="2"/>
        <v>0</v>
      </c>
      <c r="U24" s="19">
        <f t="shared" si="3"/>
        <v>0</v>
      </c>
      <c r="V24" s="19">
        <f t="shared" si="4"/>
        <v>0</v>
      </c>
      <c r="W24" s="16">
        <f t="shared" si="5"/>
        <v>0</v>
      </c>
      <c r="X24" s="16">
        <f t="shared" si="5"/>
        <v>0</v>
      </c>
      <c r="Y24" s="16">
        <f t="shared" si="5"/>
        <v>0</v>
      </c>
      <c r="Z24" s="37"/>
      <c r="AA24" s="11"/>
    </row>
    <row r="25" spans="1:27" s="2" customFormat="1" ht="60" hidden="1" x14ac:dyDescent="0.25">
      <c r="A25" s="42" t="s">
        <v>246</v>
      </c>
      <c r="B25" s="59"/>
      <c r="C25" s="42" t="s">
        <v>61</v>
      </c>
      <c r="D25" s="43" t="s">
        <v>247</v>
      </c>
      <c r="E25" s="43"/>
      <c r="F25" s="85"/>
      <c r="G25" s="43"/>
      <c r="H25" s="5" t="s">
        <v>155</v>
      </c>
      <c r="I25" s="5" t="s">
        <v>35</v>
      </c>
      <c r="J25" s="5" t="s">
        <v>36</v>
      </c>
      <c r="K25" s="5" t="s">
        <v>35</v>
      </c>
      <c r="L25" s="5" t="s">
        <v>35</v>
      </c>
      <c r="M25" s="53">
        <v>1</v>
      </c>
      <c r="N25" s="43" t="s">
        <v>79</v>
      </c>
      <c r="O25" s="16"/>
      <c r="P25" s="8"/>
      <c r="Q25" s="9"/>
      <c r="R25" s="16">
        <f t="shared" si="0"/>
        <v>0</v>
      </c>
      <c r="S25" s="8">
        <f t="shared" si="1"/>
        <v>0</v>
      </c>
      <c r="T25" s="19">
        <f t="shared" si="2"/>
        <v>0</v>
      </c>
      <c r="U25" s="19">
        <f t="shared" si="3"/>
        <v>0</v>
      </c>
      <c r="V25" s="19">
        <f t="shared" si="4"/>
        <v>0</v>
      </c>
      <c r="W25" s="16">
        <f t="shared" si="5"/>
        <v>0</v>
      </c>
      <c r="X25" s="16">
        <f t="shared" si="5"/>
        <v>0</v>
      </c>
      <c r="Y25" s="16">
        <f t="shared" si="5"/>
        <v>0</v>
      </c>
      <c r="Z25" s="37"/>
      <c r="AA25" s="11"/>
    </row>
    <row r="26" spans="1:27" s="2" customFormat="1" ht="75" hidden="1" x14ac:dyDescent="0.25">
      <c r="A26" s="42" t="s">
        <v>106</v>
      </c>
      <c r="B26" s="59">
        <v>3341</v>
      </c>
      <c r="C26" s="42" t="s">
        <v>61</v>
      </c>
      <c r="D26" s="100" t="s">
        <v>107</v>
      </c>
      <c r="E26" s="100"/>
      <c r="F26" s="101"/>
      <c r="G26" s="43" t="s">
        <v>308</v>
      </c>
      <c r="H26" s="5" t="s">
        <v>36</v>
      </c>
      <c r="I26" s="5" t="s">
        <v>35</v>
      </c>
      <c r="J26" s="5" t="s">
        <v>34</v>
      </c>
      <c r="K26" s="5" t="s">
        <v>33</v>
      </c>
      <c r="L26" s="5" t="s">
        <v>35</v>
      </c>
      <c r="M26" s="52">
        <v>12</v>
      </c>
      <c r="N26" s="43" t="s">
        <v>79</v>
      </c>
      <c r="O26" s="16">
        <v>0</v>
      </c>
      <c r="P26" s="8"/>
      <c r="Q26" s="9"/>
      <c r="R26" s="16">
        <f t="shared" si="0"/>
        <v>0</v>
      </c>
      <c r="S26" s="8">
        <f t="shared" si="1"/>
        <v>0</v>
      </c>
      <c r="T26" s="19">
        <f t="shared" si="2"/>
        <v>0</v>
      </c>
      <c r="U26" s="19">
        <f t="shared" si="3"/>
        <v>0</v>
      </c>
      <c r="V26" s="19">
        <f t="shared" si="4"/>
        <v>0</v>
      </c>
      <c r="W26" s="16">
        <f t="shared" si="5"/>
        <v>0</v>
      </c>
      <c r="X26" s="16">
        <f t="shared" si="5"/>
        <v>0</v>
      </c>
      <c r="Y26" s="16">
        <f t="shared" si="5"/>
        <v>0</v>
      </c>
      <c r="Z26" s="37"/>
      <c r="AA26" s="11"/>
    </row>
    <row r="27" spans="1:27" s="2" customFormat="1" ht="60" hidden="1" x14ac:dyDescent="0.25">
      <c r="A27" s="42" t="s">
        <v>60</v>
      </c>
      <c r="B27" s="59">
        <v>3342</v>
      </c>
      <c r="C27" s="42" t="s">
        <v>61</v>
      </c>
      <c r="D27" s="89" t="s">
        <v>62</v>
      </c>
      <c r="E27" s="89"/>
      <c r="F27" s="88"/>
      <c r="G27" s="43" t="s">
        <v>63</v>
      </c>
      <c r="H27" s="5" t="s">
        <v>36</v>
      </c>
      <c r="I27" s="5" t="s">
        <v>35</v>
      </c>
      <c r="J27" s="5" t="s">
        <v>35</v>
      </c>
      <c r="K27" s="5" t="s">
        <v>64</v>
      </c>
      <c r="L27" s="5" t="s">
        <v>35</v>
      </c>
      <c r="M27" s="51">
        <v>40</v>
      </c>
      <c r="N27" s="43" t="s">
        <v>65</v>
      </c>
      <c r="O27" s="16">
        <v>0</v>
      </c>
      <c r="P27" s="8"/>
      <c r="Q27" s="9">
        <v>0.5</v>
      </c>
      <c r="R27" s="16">
        <f t="shared" si="0"/>
        <v>0</v>
      </c>
      <c r="S27" s="8">
        <f t="shared" si="1"/>
        <v>0</v>
      </c>
      <c r="T27" s="19">
        <f t="shared" si="2"/>
        <v>0.375</v>
      </c>
      <c r="U27" s="19">
        <f t="shared" si="3"/>
        <v>0.625</v>
      </c>
      <c r="V27" s="19">
        <f t="shared" si="4"/>
        <v>7.216878364870323E-2</v>
      </c>
      <c r="W27" s="16">
        <f t="shared" si="5"/>
        <v>0</v>
      </c>
      <c r="X27" s="16">
        <f t="shared" si="5"/>
        <v>0</v>
      </c>
      <c r="Y27" s="16">
        <f t="shared" si="5"/>
        <v>0</v>
      </c>
      <c r="Z27" s="37"/>
      <c r="AA27" s="11"/>
    </row>
    <row r="28" spans="1:27" s="2" customFormat="1" ht="30" hidden="1" x14ac:dyDescent="0.25">
      <c r="A28" s="42" t="s">
        <v>126</v>
      </c>
      <c r="B28" s="59">
        <v>3343</v>
      </c>
      <c r="C28" s="42" t="s">
        <v>121</v>
      </c>
      <c r="D28" s="94" t="s">
        <v>127</v>
      </c>
      <c r="E28" s="94"/>
      <c r="F28" s="93"/>
      <c r="G28" s="43" t="s">
        <v>341</v>
      </c>
      <c r="H28" s="5" t="s">
        <v>33</v>
      </c>
      <c r="I28" s="5" t="s">
        <v>35</v>
      </c>
      <c r="J28" s="5" t="s">
        <v>33</v>
      </c>
      <c r="K28" s="5" t="s">
        <v>35</v>
      </c>
      <c r="L28" s="5" t="s">
        <v>35</v>
      </c>
      <c r="M28" s="52">
        <v>10</v>
      </c>
      <c r="N28" s="43" t="s">
        <v>65</v>
      </c>
      <c r="O28" s="16">
        <v>-1000000</v>
      </c>
      <c r="P28" s="8"/>
      <c r="Q28" s="9">
        <v>0.5</v>
      </c>
      <c r="R28" s="16">
        <f t="shared" si="0"/>
        <v>-500000</v>
      </c>
      <c r="S28" s="8">
        <f t="shared" si="1"/>
        <v>0</v>
      </c>
      <c r="T28" s="19">
        <f t="shared" si="2"/>
        <v>0.375</v>
      </c>
      <c r="U28" s="19">
        <f t="shared" si="3"/>
        <v>0.625</v>
      </c>
      <c r="V28" s="19">
        <f t="shared" si="4"/>
        <v>7.216878364870323E-2</v>
      </c>
      <c r="W28" s="16">
        <f t="shared" si="5"/>
        <v>-879.5</v>
      </c>
      <c r="X28" s="16">
        <f t="shared" si="5"/>
        <v>-910</v>
      </c>
      <c r="Y28" s="16">
        <f t="shared" si="5"/>
        <v>-955</v>
      </c>
      <c r="Z28" s="37"/>
      <c r="AA28" s="11"/>
    </row>
    <row r="29" spans="1:27" s="2" customFormat="1" ht="30" hidden="1" x14ac:dyDescent="0.25">
      <c r="A29" s="42" t="s">
        <v>102</v>
      </c>
      <c r="B29" s="59"/>
      <c r="C29" s="42" t="s">
        <v>61</v>
      </c>
      <c r="D29" s="89" t="s">
        <v>103</v>
      </c>
      <c r="E29" s="89"/>
      <c r="F29" s="88"/>
      <c r="G29" s="43" t="s">
        <v>63</v>
      </c>
      <c r="H29" s="5" t="s">
        <v>155</v>
      </c>
      <c r="I29" s="5" t="s">
        <v>35</v>
      </c>
      <c r="J29" s="5" t="s">
        <v>35</v>
      </c>
      <c r="K29" s="5" t="s">
        <v>34</v>
      </c>
      <c r="L29" s="5" t="s">
        <v>35</v>
      </c>
      <c r="M29" s="53">
        <v>4</v>
      </c>
      <c r="N29" s="43" t="s">
        <v>104</v>
      </c>
      <c r="O29" s="16"/>
      <c r="P29" s="8"/>
      <c r="Q29" s="9"/>
      <c r="R29" s="16">
        <f t="shared" si="0"/>
        <v>0</v>
      </c>
      <c r="S29" s="8">
        <f t="shared" si="1"/>
        <v>0</v>
      </c>
      <c r="T29" s="19">
        <f t="shared" si="2"/>
        <v>0</v>
      </c>
      <c r="U29" s="19">
        <f t="shared" si="3"/>
        <v>0</v>
      </c>
      <c r="V29" s="19">
        <f t="shared" si="4"/>
        <v>0</v>
      </c>
      <c r="W29" s="16">
        <f t="shared" si="5"/>
        <v>0</v>
      </c>
      <c r="X29" s="16">
        <f t="shared" si="5"/>
        <v>0</v>
      </c>
      <c r="Y29" s="16">
        <f t="shared" si="5"/>
        <v>0</v>
      </c>
      <c r="Z29" s="37"/>
      <c r="AA29" s="11"/>
    </row>
    <row r="30" spans="1:27" s="2" customFormat="1" ht="30" hidden="1" x14ac:dyDescent="0.25">
      <c r="A30" s="42" t="s">
        <v>165</v>
      </c>
      <c r="B30" s="59">
        <v>3344</v>
      </c>
      <c r="C30" s="42" t="s">
        <v>61</v>
      </c>
      <c r="D30" s="43" t="s">
        <v>166</v>
      </c>
      <c r="E30" s="43" t="s">
        <v>344</v>
      </c>
      <c r="F30" s="85"/>
      <c r="G30" s="43"/>
      <c r="H30" s="5" t="s">
        <v>36</v>
      </c>
      <c r="I30" s="5" t="s">
        <v>35</v>
      </c>
      <c r="J30" s="5" t="s">
        <v>33</v>
      </c>
      <c r="K30" s="5" t="s">
        <v>35</v>
      </c>
      <c r="L30" s="5" t="s">
        <v>35</v>
      </c>
      <c r="M30" s="52">
        <v>6</v>
      </c>
      <c r="N30" s="43" t="s">
        <v>167</v>
      </c>
      <c r="O30" s="71">
        <v>175000</v>
      </c>
      <c r="P30" s="8"/>
      <c r="Q30" s="9">
        <v>0.1</v>
      </c>
      <c r="R30" s="16">
        <f t="shared" si="0"/>
        <v>17500</v>
      </c>
      <c r="S30" s="8">
        <f t="shared" si="1"/>
        <v>0</v>
      </c>
      <c r="T30" s="19">
        <f t="shared" si="2"/>
        <v>-2.4999999999999994E-2</v>
      </c>
      <c r="U30" s="19">
        <f t="shared" si="3"/>
        <v>0.22500000000000001</v>
      </c>
      <c r="V30" s="19">
        <f t="shared" si="4"/>
        <v>7.216878364870323E-2</v>
      </c>
      <c r="W30" s="16">
        <f t="shared" si="5"/>
        <v>30.782499999999999</v>
      </c>
      <c r="X30" s="16">
        <f t="shared" si="5"/>
        <v>31.85</v>
      </c>
      <c r="Y30" s="16">
        <f t="shared" si="5"/>
        <v>33.424999999999997</v>
      </c>
      <c r="Z30" s="37"/>
      <c r="AA30" s="11"/>
    </row>
    <row r="31" spans="1:27" s="2" customFormat="1" ht="45" hidden="1" x14ac:dyDescent="0.25">
      <c r="A31" s="42" t="s">
        <v>221</v>
      </c>
      <c r="B31" s="59"/>
      <c r="C31" s="42" t="s">
        <v>61</v>
      </c>
      <c r="D31" s="89" t="s">
        <v>222</v>
      </c>
      <c r="E31" s="89"/>
      <c r="F31" s="88"/>
      <c r="G31" s="43" t="s">
        <v>63</v>
      </c>
      <c r="H31" s="5" t="s">
        <v>36</v>
      </c>
      <c r="I31" s="5" t="s">
        <v>35</v>
      </c>
      <c r="J31" s="5" t="s">
        <v>35</v>
      </c>
      <c r="K31" s="5" t="s">
        <v>36</v>
      </c>
      <c r="L31" s="5" t="s">
        <v>35</v>
      </c>
      <c r="M31" s="53">
        <v>3</v>
      </c>
      <c r="N31" s="43" t="s">
        <v>167</v>
      </c>
      <c r="O31" s="16"/>
      <c r="P31" s="8"/>
      <c r="Q31" s="15"/>
      <c r="R31" s="16">
        <f t="shared" si="0"/>
        <v>0</v>
      </c>
      <c r="S31" s="8">
        <f t="shared" si="1"/>
        <v>0</v>
      </c>
      <c r="T31" s="19">
        <f t="shared" si="2"/>
        <v>0</v>
      </c>
      <c r="U31" s="19">
        <f t="shared" si="3"/>
        <v>0</v>
      </c>
      <c r="V31" s="19">
        <f t="shared" si="4"/>
        <v>0</v>
      </c>
      <c r="W31" s="16">
        <f t="shared" si="5"/>
        <v>0</v>
      </c>
      <c r="X31" s="16">
        <f t="shared" si="5"/>
        <v>0</v>
      </c>
      <c r="Y31" s="16">
        <f t="shared" si="5"/>
        <v>0</v>
      </c>
      <c r="Z31" s="37"/>
      <c r="AA31" s="11"/>
    </row>
    <row r="32" spans="1:27" s="2" customFormat="1" ht="90" x14ac:dyDescent="0.25">
      <c r="A32" s="42" t="s">
        <v>156</v>
      </c>
      <c r="B32" s="59">
        <v>3345</v>
      </c>
      <c r="C32" s="42" t="s">
        <v>61</v>
      </c>
      <c r="D32" s="44" t="s">
        <v>19</v>
      </c>
      <c r="E32" s="44"/>
      <c r="F32" s="86"/>
      <c r="G32" s="43" t="s">
        <v>253</v>
      </c>
      <c r="H32" s="5" t="s">
        <v>155</v>
      </c>
      <c r="I32" s="5" t="s">
        <v>35</v>
      </c>
      <c r="J32" s="5" t="s">
        <v>35</v>
      </c>
      <c r="K32" s="5" t="s">
        <v>64</v>
      </c>
      <c r="L32" s="5" t="s">
        <v>35</v>
      </c>
      <c r="M32" s="52">
        <v>8</v>
      </c>
      <c r="N32" s="43" t="s">
        <v>20</v>
      </c>
      <c r="O32" s="16">
        <v>0</v>
      </c>
      <c r="P32" s="8"/>
      <c r="Q32" s="15">
        <v>0.05</v>
      </c>
      <c r="R32" s="16">
        <f t="shared" si="0"/>
        <v>0</v>
      </c>
      <c r="S32" s="8">
        <f t="shared" si="1"/>
        <v>0</v>
      </c>
      <c r="T32" s="19">
        <f t="shared" si="2"/>
        <v>-7.4999999999999997E-2</v>
      </c>
      <c r="U32" s="19">
        <f t="shared" si="3"/>
        <v>0.17499999999999999</v>
      </c>
      <c r="V32" s="19">
        <f t="shared" si="4"/>
        <v>7.216878364870323E-2</v>
      </c>
      <c r="W32" s="16">
        <f t="shared" si="5"/>
        <v>0</v>
      </c>
      <c r="X32" s="16">
        <f t="shared" si="5"/>
        <v>0</v>
      </c>
      <c r="Y32" s="16">
        <f t="shared" si="5"/>
        <v>0</v>
      </c>
      <c r="Z32" s="37"/>
      <c r="AA32" s="11"/>
    </row>
    <row r="33" spans="1:27" s="2" customFormat="1" ht="30" x14ac:dyDescent="0.25">
      <c r="A33" s="42" t="s">
        <v>254</v>
      </c>
      <c r="B33" s="59"/>
      <c r="C33" s="42" t="s">
        <v>61</v>
      </c>
      <c r="D33" s="44" t="s">
        <v>255</v>
      </c>
      <c r="E33" s="44"/>
      <c r="F33" s="86"/>
      <c r="G33" s="43" t="s">
        <v>253</v>
      </c>
      <c r="H33" s="5" t="s">
        <v>155</v>
      </c>
      <c r="I33" s="5" t="s">
        <v>35</v>
      </c>
      <c r="J33" s="5" t="s">
        <v>35</v>
      </c>
      <c r="K33" s="5" t="s">
        <v>64</v>
      </c>
      <c r="L33" s="5" t="s">
        <v>35</v>
      </c>
      <c r="M33" s="5">
        <v>0</v>
      </c>
      <c r="N33" s="43" t="s">
        <v>20</v>
      </c>
      <c r="O33" s="16"/>
      <c r="P33" s="8"/>
      <c r="Q33" s="15"/>
      <c r="R33" s="16">
        <f t="shared" si="0"/>
        <v>0</v>
      </c>
      <c r="S33" s="8">
        <f t="shared" si="1"/>
        <v>0</v>
      </c>
      <c r="T33" s="19">
        <f t="shared" si="2"/>
        <v>0</v>
      </c>
      <c r="U33" s="19">
        <f t="shared" si="3"/>
        <v>0</v>
      </c>
      <c r="V33" s="19">
        <f t="shared" si="4"/>
        <v>0</v>
      </c>
      <c r="W33" s="16">
        <f t="shared" si="5"/>
        <v>0</v>
      </c>
      <c r="X33" s="16">
        <f t="shared" si="5"/>
        <v>0</v>
      </c>
      <c r="Y33" s="16">
        <f t="shared" si="5"/>
        <v>0</v>
      </c>
      <c r="Z33" s="37"/>
      <c r="AA33" s="11"/>
    </row>
    <row r="34" spans="1:27" s="2" customFormat="1" ht="30" hidden="1" x14ac:dyDescent="0.25">
      <c r="A34" s="42" t="s">
        <v>180</v>
      </c>
      <c r="B34" s="59">
        <v>3346</v>
      </c>
      <c r="C34" s="42" t="s">
        <v>61</v>
      </c>
      <c r="D34" s="43" t="s">
        <v>181</v>
      </c>
      <c r="E34" s="43"/>
      <c r="F34" s="85"/>
      <c r="G34" s="43"/>
      <c r="H34" s="5" t="s">
        <v>36</v>
      </c>
      <c r="I34" s="5" t="s">
        <v>35</v>
      </c>
      <c r="J34" s="5" t="s">
        <v>35</v>
      </c>
      <c r="K34" s="5" t="s">
        <v>33</v>
      </c>
      <c r="L34" s="5" t="s">
        <v>35</v>
      </c>
      <c r="M34" s="52">
        <v>6</v>
      </c>
      <c r="N34" s="43" t="s">
        <v>2</v>
      </c>
      <c r="O34" s="16">
        <v>0</v>
      </c>
      <c r="P34" s="8"/>
      <c r="Q34" s="15">
        <v>0.17</v>
      </c>
      <c r="R34" s="16">
        <f t="shared" si="0"/>
        <v>0</v>
      </c>
      <c r="S34" s="8">
        <f t="shared" si="1"/>
        <v>0</v>
      </c>
      <c r="T34" s="19">
        <f t="shared" si="2"/>
        <v>4.5000000000000012E-2</v>
      </c>
      <c r="U34" s="19">
        <f t="shared" si="3"/>
        <v>0.29500000000000004</v>
      </c>
      <c r="V34" s="19">
        <f t="shared" si="4"/>
        <v>7.216878364870323E-2</v>
      </c>
      <c r="W34" s="16">
        <f t="shared" si="5"/>
        <v>0</v>
      </c>
      <c r="X34" s="16">
        <f t="shared" si="5"/>
        <v>0</v>
      </c>
      <c r="Y34" s="16">
        <f t="shared" si="5"/>
        <v>0</v>
      </c>
      <c r="Z34" s="37"/>
      <c r="AA34" s="11"/>
    </row>
    <row r="35" spans="1:27" s="2" customFormat="1" ht="45" x14ac:dyDescent="0.25">
      <c r="A35" s="42" t="s">
        <v>293</v>
      </c>
      <c r="B35" s="59"/>
      <c r="C35" s="42" t="s">
        <v>61</v>
      </c>
      <c r="D35" s="44" t="s">
        <v>294</v>
      </c>
      <c r="E35" s="44"/>
      <c r="F35" s="86"/>
      <c r="G35" s="43" t="s">
        <v>253</v>
      </c>
      <c r="H35" s="5" t="s">
        <v>36</v>
      </c>
      <c r="I35" s="5" t="s">
        <v>36</v>
      </c>
      <c r="J35" s="5" t="s">
        <v>64</v>
      </c>
      <c r="K35" s="5" t="s">
        <v>155</v>
      </c>
      <c r="L35" s="5" t="s">
        <v>35</v>
      </c>
      <c r="M35" s="5">
        <v>0</v>
      </c>
      <c r="N35" s="43" t="s">
        <v>2</v>
      </c>
      <c r="O35" s="16"/>
      <c r="P35" s="8"/>
      <c r="Q35" s="15"/>
      <c r="R35" s="16">
        <f t="shared" si="0"/>
        <v>0</v>
      </c>
      <c r="S35" s="8">
        <f t="shared" si="1"/>
        <v>0</v>
      </c>
      <c r="T35" s="19">
        <f t="shared" si="2"/>
        <v>0</v>
      </c>
      <c r="U35" s="19">
        <f t="shared" si="3"/>
        <v>0</v>
      </c>
      <c r="V35" s="19">
        <f t="shared" si="4"/>
        <v>0</v>
      </c>
      <c r="W35" s="16">
        <f t="shared" si="5"/>
        <v>0</v>
      </c>
      <c r="X35" s="16">
        <f t="shared" si="5"/>
        <v>0</v>
      </c>
      <c r="Y35" s="16">
        <f t="shared" si="5"/>
        <v>0</v>
      </c>
      <c r="Z35" s="37"/>
      <c r="AA35" s="11"/>
    </row>
    <row r="36" spans="1:27" s="2" customFormat="1" ht="30" hidden="1" x14ac:dyDescent="0.25">
      <c r="A36" s="42" t="s">
        <v>117</v>
      </c>
      <c r="B36" s="59">
        <v>3347</v>
      </c>
      <c r="C36" s="42" t="s">
        <v>61</v>
      </c>
      <c r="D36" s="54" t="s">
        <v>300</v>
      </c>
      <c r="E36" s="54"/>
      <c r="F36" s="87"/>
      <c r="G36" s="43"/>
      <c r="H36" s="5" t="s">
        <v>33</v>
      </c>
      <c r="I36" s="5" t="s">
        <v>35</v>
      </c>
      <c r="J36" s="5" t="s">
        <v>34</v>
      </c>
      <c r="K36" s="5" t="s">
        <v>34</v>
      </c>
      <c r="L36" s="5" t="s">
        <v>35</v>
      </c>
      <c r="M36" s="51">
        <v>24</v>
      </c>
      <c r="N36" s="54" t="s">
        <v>301</v>
      </c>
      <c r="O36" s="56">
        <v>1000000</v>
      </c>
      <c r="P36" s="8"/>
      <c r="Q36" s="15">
        <v>0.5</v>
      </c>
      <c r="R36" s="16">
        <f t="shared" si="0"/>
        <v>500000</v>
      </c>
      <c r="S36" s="8">
        <f t="shared" si="1"/>
        <v>0</v>
      </c>
      <c r="T36" s="19">
        <f t="shared" si="2"/>
        <v>0.375</v>
      </c>
      <c r="U36" s="19">
        <f t="shared" si="3"/>
        <v>0.625</v>
      </c>
      <c r="V36" s="19">
        <f t="shared" si="4"/>
        <v>7.216878364870323E-2</v>
      </c>
      <c r="W36" s="16">
        <f t="shared" si="5"/>
        <v>879.5</v>
      </c>
      <c r="X36" s="16">
        <f t="shared" si="5"/>
        <v>910</v>
      </c>
      <c r="Y36" s="16">
        <f t="shared" si="5"/>
        <v>955</v>
      </c>
      <c r="Z36" s="37"/>
      <c r="AA36" s="11"/>
    </row>
    <row r="37" spans="1:27" s="2" customFormat="1" ht="30" hidden="1" x14ac:dyDescent="0.25">
      <c r="A37" s="42" t="s">
        <v>187</v>
      </c>
      <c r="B37" s="59">
        <v>3348</v>
      </c>
      <c r="C37" s="42" t="s">
        <v>61</v>
      </c>
      <c r="D37" s="89" t="s">
        <v>188</v>
      </c>
      <c r="E37" s="89"/>
      <c r="F37" s="88"/>
      <c r="G37" s="43" t="s">
        <v>63</v>
      </c>
      <c r="H37" s="5" t="s">
        <v>36</v>
      </c>
      <c r="I37" s="5" t="s">
        <v>35</v>
      </c>
      <c r="J37" s="5" t="s">
        <v>35</v>
      </c>
      <c r="K37" s="5" t="s">
        <v>36</v>
      </c>
      <c r="L37" s="5" t="s">
        <v>35</v>
      </c>
      <c r="M37" s="52">
        <v>6</v>
      </c>
      <c r="N37" s="43" t="s">
        <v>93</v>
      </c>
      <c r="O37" s="16">
        <v>0</v>
      </c>
      <c r="P37" s="8"/>
      <c r="Q37" s="15">
        <v>0.17</v>
      </c>
      <c r="R37" s="16">
        <f t="shared" si="0"/>
        <v>0</v>
      </c>
      <c r="S37" s="8">
        <f t="shared" si="1"/>
        <v>0</v>
      </c>
      <c r="T37" s="19">
        <f t="shared" si="2"/>
        <v>4.5000000000000012E-2</v>
      </c>
      <c r="U37" s="19">
        <f t="shared" si="3"/>
        <v>0.29500000000000004</v>
      </c>
      <c r="V37" s="19">
        <f t="shared" si="4"/>
        <v>7.216878364870323E-2</v>
      </c>
      <c r="W37" s="16">
        <f t="shared" si="5"/>
        <v>0</v>
      </c>
      <c r="X37" s="16">
        <f t="shared" si="5"/>
        <v>0</v>
      </c>
      <c r="Y37" s="16">
        <f t="shared" si="5"/>
        <v>0</v>
      </c>
      <c r="Z37" s="37"/>
      <c r="AA37" s="11"/>
    </row>
    <row r="38" spans="1:27" s="2" customFormat="1" ht="63" hidden="1" customHeight="1" x14ac:dyDescent="0.25">
      <c r="A38" s="42" t="s">
        <v>329</v>
      </c>
      <c r="B38" s="59" t="s">
        <v>333</v>
      </c>
      <c r="C38" s="42" t="s">
        <v>61</v>
      </c>
      <c r="D38" s="84" t="s">
        <v>330</v>
      </c>
      <c r="E38" s="43"/>
      <c r="F38" s="85">
        <v>100000</v>
      </c>
      <c r="G38" s="43"/>
      <c r="H38" s="5" t="s">
        <v>33</v>
      </c>
      <c r="I38" s="5" t="s">
        <v>33</v>
      </c>
      <c r="J38" s="5" t="s">
        <v>35</v>
      </c>
      <c r="K38" s="5" t="s">
        <v>34</v>
      </c>
      <c r="L38" s="5" t="s">
        <v>35</v>
      </c>
      <c r="M38" s="52"/>
      <c r="N38" s="43" t="s">
        <v>331</v>
      </c>
      <c r="O38" s="16"/>
      <c r="P38" s="8"/>
      <c r="Q38" s="15"/>
      <c r="R38" s="16"/>
      <c r="S38" s="8"/>
      <c r="T38" s="19"/>
      <c r="U38" s="19"/>
      <c r="V38" s="19"/>
      <c r="W38" s="16"/>
      <c r="X38" s="16"/>
      <c r="Y38" s="16"/>
      <c r="Z38" s="37"/>
      <c r="AA38" s="11"/>
    </row>
    <row r="39" spans="1:27" s="2" customFormat="1" ht="30" hidden="1" x14ac:dyDescent="0.25">
      <c r="A39" s="42" t="s">
        <v>162</v>
      </c>
      <c r="B39" s="59">
        <v>3349</v>
      </c>
      <c r="C39" s="42" t="s">
        <v>61</v>
      </c>
      <c r="D39" s="89" t="s">
        <v>163</v>
      </c>
      <c r="E39" s="89"/>
      <c r="F39" s="88">
        <v>50000</v>
      </c>
      <c r="G39" s="43" t="s">
        <v>63</v>
      </c>
      <c r="H39" s="5" t="s">
        <v>36</v>
      </c>
      <c r="I39" s="5" t="s">
        <v>35</v>
      </c>
      <c r="J39" s="5" t="s">
        <v>35</v>
      </c>
      <c r="K39" s="5" t="s">
        <v>33</v>
      </c>
      <c r="L39" s="5" t="s">
        <v>35</v>
      </c>
      <c r="M39" s="52">
        <v>6</v>
      </c>
      <c r="N39" s="43" t="s">
        <v>93</v>
      </c>
      <c r="O39" s="16">
        <v>0</v>
      </c>
      <c r="P39" s="8"/>
      <c r="Q39" s="15">
        <v>0.17</v>
      </c>
      <c r="R39" s="16">
        <f t="shared" ref="R39:R70" si="6">O39*Q39</f>
        <v>0</v>
      </c>
      <c r="S39" s="8">
        <f t="shared" ref="S39:S70" si="7">P39*Q39</f>
        <v>0</v>
      </c>
      <c r="T39" s="19">
        <f t="shared" ref="T39:T70" si="8">IF($Q39=0,0, IF($Q39 = 100%, 100%,$Q39-12.5%))* IF($T$1="Y", 1, IF($O39&lt;0,0,1))</f>
        <v>4.5000000000000012E-2</v>
      </c>
      <c r="U39" s="19">
        <f t="shared" ref="U39:U70" si="9">IF($Q39=0,0, IF($Q39 = 100%, 100%,$Q39+12.5%))* IF($T$1="Y", 1, IF($O39&lt;0,0,1))</f>
        <v>0.29500000000000004</v>
      </c>
      <c r="V39" s="19">
        <f t="shared" ref="V39:V70" si="10">(U39-T39)/SQRT(12)</f>
        <v>7.216878364870323E-2</v>
      </c>
      <c r="W39" s="16">
        <f t="shared" ref="W39:Y58" si="11">W$121*$R39/$R$121  *  IF($T$1="Y", 1, IF($O39&lt;0,0,1))</f>
        <v>0</v>
      </c>
      <c r="X39" s="16">
        <f t="shared" si="11"/>
        <v>0</v>
      </c>
      <c r="Y39" s="16">
        <f t="shared" si="11"/>
        <v>0</v>
      </c>
      <c r="Z39" s="37"/>
      <c r="AA39" s="11"/>
    </row>
    <row r="40" spans="1:27" s="2" customFormat="1" ht="45" hidden="1" x14ac:dyDescent="0.25">
      <c r="A40" s="42" t="s">
        <v>225</v>
      </c>
      <c r="B40" s="59"/>
      <c r="C40" s="42" t="s">
        <v>61</v>
      </c>
      <c r="D40" s="43" t="s">
        <v>226</v>
      </c>
      <c r="E40" s="43"/>
      <c r="F40" s="85"/>
      <c r="G40" s="43"/>
      <c r="H40" s="5" t="s">
        <v>36</v>
      </c>
      <c r="I40" s="5" t="s">
        <v>35</v>
      </c>
      <c r="J40" s="5" t="s">
        <v>36</v>
      </c>
      <c r="K40" s="5" t="s">
        <v>35</v>
      </c>
      <c r="L40" s="5" t="s">
        <v>35</v>
      </c>
      <c r="M40" s="53">
        <v>3</v>
      </c>
      <c r="N40" s="43" t="s">
        <v>130</v>
      </c>
      <c r="O40" s="16"/>
      <c r="P40" s="8"/>
      <c r="Q40" s="15"/>
      <c r="R40" s="16">
        <f t="shared" si="6"/>
        <v>0</v>
      </c>
      <c r="S40" s="8">
        <f t="shared" si="7"/>
        <v>0</v>
      </c>
      <c r="T40" s="19">
        <f t="shared" si="8"/>
        <v>0</v>
      </c>
      <c r="U40" s="19">
        <f t="shared" si="9"/>
        <v>0</v>
      </c>
      <c r="V40" s="19">
        <f t="shared" si="10"/>
        <v>0</v>
      </c>
      <c r="W40" s="16">
        <f t="shared" si="11"/>
        <v>0</v>
      </c>
      <c r="X40" s="16">
        <f t="shared" si="11"/>
        <v>0</v>
      </c>
      <c r="Y40" s="16">
        <f t="shared" si="11"/>
        <v>0</v>
      </c>
      <c r="Z40" s="37"/>
      <c r="AA40" s="11"/>
    </row>
    <row r="41" spans="1:27" s="2" customFormat="1" ht="45" hidden="1" x14ac:dyDescent="0.25">
      <c r="A41" s="42" t="s">
        <v>23</v>
      </c>
      <c r="B41" s="59">
        <v>3350</v>
      </c>
      <c r="C41" s="42" t="s">
        <v>61</v>
      </c>
      <c r="D41" s="43" t="s">
        <v>24</v>
      </c>
      <c r="E41" s="43" t="s">
        <v>345</v>
      </c>
      <c r="F41" s="85"/>
      <c r="G41" s="43"/>
      <c r="H41" s="5" t="s">
        <v>155</v>
      </c>
      <c r="I41" s="75" t="s">
        <v>33</v>
      </c>
      <c r="J41" s="5" t="s">
        <v>33</v>
      </c>
      <c r="K41" s="5" t="s">
        <v>35</v>
      </c>
      <c r="L41" s="75" t="s">
        <v>64</v>
      </c>
      <c r="M41" s="52">
        <v>8</v>
      </c>
      <c r="N41" s="43" t="s">
        <v>130</v>
      </c>
      <c r="O41" s="71">
        <v>100000</v>
      </c>
      <c r="P41" s="8"/>
      <c r="Q41" s="15">
        <v>0.05</v>
      </c>
      <c r="R41" s="16">
        <f t="shared" si="6"/>
        <v>5000</v>
      </c>
      <c r="S41" s="8">
        <f t="shared" si="7"/>
        <v>0</v>
      </c>
      <c r="T41" s="19">
        <f t="shared" si="8"/>
        <v>-7.4999999999999997E-2</v>
      </c>
      <c r="U41" s="19">
        <f t="shared" si="9"/>
        <v>0.17499999999999999</v>
      </c>
      <c r="V41" s="19">
        <f t="shared" si="10"/>
        <v>7.216878364870323E-2</v>
      </c>
      <c r="W41" s="16">
        <f t="shared" si="11"/>
        <v>8.7949999999999999</v>
      </c>
      <c r="X41" s="16">
        <f t="shared" si="11"/>
        <v>9.1</v>
      </c>
      <c r="Y41" s="16">
        <f t="shared" si="11"/>
        <v>9.5500000000000007</v>
      </c>
      <c r="Z41" s="37"/>
      <c r="AA41" s="11"/>
    </row>
    <row r="42" spans="1:27" s="2" customFormat="1" ht="45" hidden="1" x14ac:dyDescent="0.25">
      <c r="A42" s="42" t="s">
        <v>128</v>
      </c>
      <c r="B42" s="59">
        <v>3351</v>
      </c>
      <c r="C42" s="42" t="s">
        <v>121</v>
      </c>
      <c r="D42" s="43" t="s">
        <v>129</v>
      </c>
      <c r="E42" s="43" t="s">
        <v>313</v>
      </c>
      <c r="F42" s="85"/>
      <c r="G42" s="43"/>
      <c r="H42" s="5" t="s">
        <v>33</v>
      </c>
      <c r="I42" s="5" t="s">
        <v>35</v>
      </c>
      <c r="J42" s="5" t="s">
        <v>33</v>
      </c>
      <c r="K42" s="5" t="s">
        <v>35</v>
      </c>
      <c r="L42" s="5" t="s">
        <v>35</v>
      </c>
      <c r="M42" s="52">
        <v>10</v>
      </c>
      <c r="N42" s="43" t="s">
        <v>130</v>
      </c>
      <c r="O42" s="16">
        <v>-1200000</v>
      </c>
      <c r="P42" s="8"/>
      <c r="Q42" s="15">
        <v>0.5</v>
      </c>
      <c r="R42" s="16">
        <f t="shared" si="6"/>
        <v>-600000</v>
      </c>
      <c r="S42" s="8">
        <f t="shared" si="7"/>
        <v>0</v>
      </c>
      <c r="T42" s="19">
        <f t="shared" si="8"/>
        <v>0.375</v>
      </c>
      <c r="U42" s="19">
        <f t="shared" si="9"/>
        <v>0.625</v>
      </c>
      <c r="V42" s="19">
        <f t="shared" si="10"/>
        <v>7.216878364870323E-2</v>
      </c>
      <c r="W42" s="16">
        <f t="shared" si="11"/>
        <v>-1055.4000000000001</v>
      </c>
      <c r="X42" s="16">
        <f t="shared" si="11"/>
        <v>-1092</v>
      </c>
      <c r="Y42" s="16">
        <f t="shared" si="11"/>
        <v>-1146</v>
      </c>
      <c r="Z42" s="37"/>
      <c r="AA42" s="11"/>
    </row>
    <row r="43" spans="1:27" s="2" customFormat="1" ht="45" hidden="1" x14ac:dyDescent="0.25">
      <c r="A43" s="42" t="s">
        <v>189</v>
      </c>
      <c r="B43" s="59">
        <v>3352</v>
      </c>
      <c r="C43" s="42" t="s">
        <v>61</v>
      </c>
      <c r="D43" s="43" t="s">
        <v>190</v>
      </c>
      <c r="E43" s="43" t="s">
        <v>313</v>
      </c>
      <c r="F43" s="85"/>
      <c r="G43" s="43"/>
      <c r="H43" s="5" t="s">
        <v>36</v>
      </c>
      <c r="I43" s="5" t="s">
        <v>35</v>
      </c>
      <c r="J43" s="5" t="s">
        <v>33</v>
      </c>
      <c r="K43" s="5" t="s">
        <v>35</v>
      </c>
      <c r="L43" s="5" t="s">
        <v>35</v>
      </c>
      <c r="M43" s="52">
        <v>6</v>
      </c>
      <c r="N43" s="43" t="s">
        <v>130</v>
      </c>
      <c r="O43" s="71">
        <v>1200000</v>
      </c>
      <c r="P43" s="8"/>
      <c r="Q43" s="15">
        <v>0.1</v>
      </c>
      <c r="R43" s="16">
        <f t="shared" si="6"/>
        <v>120000</v>
      </c>
      <c r="S43" s="8">
        <f t="shared" si="7"/>
        <v>0</v>
      </c>
      <c r="T43" s="19">
        <f t="shared" si="8"/>
        <v>-2.4999999999999994E-2</v>
      </c>
      <c r="U43" s="19">
        <f t="shared" si="9"/>
        <v>0.22500000000000001</v>
      </c>
      <c r="V43" s="19">
        <f t="shared" si="10"/>
        <v>7.216878364870323E-2</v>
      </c>
      <c r="W43" s="16">
        <f t="shared" si="11"/>
        <v>211.08</v>
      </c>
      <c r="X43" s="16">
        <f t="shared" si="11"/>
        <v>218.4</v>
      </c>
      <c r="Y43" s="16">
        <f t="shared" si="11"/>
        <v>229.2</v>
      </c>
      <c r="Z43" s="37"/>
      <c r="AA43" s="11"/>
    </row>
    <row r="44" spans="1:27" s="2" customFormat="1" ht="60" hidden="1" x14ac:dyDescent="0.25">
      <c r="A44" s="42" t="s">
        <v>248</v>
      </c>
      <c r="B44" s="59"/>
      <c r="C44" s="42" t="s">
        <v>61</v>
      </c>
      <c r="D44" s="43" t="s">
        <v>249</v>
      </c>
      <c r="E44" s="43"/>
      <c r="F44" s="85"/>
      <c r="G44" s="43"/>
      <c r="H44" s="5" t="s">
        <v>155</v>
      </c>
      <c r="I44" s="5" t="s">
        <v>35</v>
      </c>
      <c r="J44" s="5" t="s">
        <v>36</v>
      </c>
      <c r="K44" s="5" t="s">
        <v>35</v>
      </c>
      <c r="L44" s="5" t="s">
        <v>35</v>
      </c>
      <c r="M44" s="53">
        <v>1</v>
      </c>
      <c r="N44" s="43" t="s">
        <v>130</v>
      </c>
      <c r="O44" s="16"/>
      <c r="P44" s="8"/>
      <c r="Q44" s="15"/>
      <c r="R44" s="16">
        <f t="shared" si="6"/>
        <v>0</v>
      </c>
      <c r="S44" s="8">
        <f t="shared" si="7"/>
        <v>0</v>
      </c>
      <c r="T44" s="19">
        <f t="shared" si="8"/>
        <v>0</v>
      </c>
      <c r="U44" s="19">
        <f t="shared" si="9"/>
        <v>0</v>
      </c>
      <c r="V44" s="19">
        <f t="shared" si="10"/>
        <v>0</v>
      </c>
      <c r="W44" s="16">
        <f t="shared" si="11"/>
        <v>0</v>
      </c>
      <c r="X44" s="16">
        <f t="shared" si="11"/>
        <v>0</v>
      </c>
      <c r="Y44" s="16">
        <f t="shared" si="11"/>
        <v>0</v>
      </c>
      <c r="Z44" s="37"/>
      <c r="AA44" s="11"/>
    </row>
    <row r="45" spans="1:27" s="2" customFormat="1" ht="45" hidden="1" x14ac:dyDescent="0.25">
      <c r="A45" s="42" t="s">
        <v>205</v>
      </c>
      <c r="B45" s="59"/>
      <c r="C45" s="42" t="s">
        <v>61</v>
      </c>
      <c r="D45" s="43" t="s">
        <v>206</v>
      </c>
      <c r="E45" s="43"/>
      <c r="F45" s="85"/>
      <c r="G45" s="43"/>
      <c r="H45" s="5" t="s">
        <v>155</v>
      </c>
      <c r="I45" s="5" t="s">
        <v>35</v>
      </c>
      <c r="J45" s="5" t="s">
        <v>34</v>
      </c>
      <c r="K45" s="5" t="s">
        <v>33</v>
      </c>
      <c r="L45" s="5" t="s">
        <v>35</v>
      </c>
      <c r="M45" s="53">
        <v>4</v>
      </c>
      <c r="N45" s="43" t="s">
        <v>130</v>
      </c>
      <c r="O45" s="16"/>
      <c r="P45" s="8"/>
      <c r="Q45" s="15"/>
      <c r="R45" s="16">
        <f t="shared" si="6"/>
        <v>0</v>
      </c>
      <c r="S45" s="8">
        <f t="shared" si="7"/>
        <v>0</v>
      </c>
      <c r="T45" s="19">
        <f t="shared" si="8"/>
        <v>0</v>
      </c>
      <c r="U45" s="19">
        <f t="shared" si="9"/>
        <v>0</v>
      </c>
      <c r="V45" s="19">
        <f t="shared" si="10"/>
        <v>0</v>
      </c>
      <c r="W45" s="16">
        <f t="shared" si="11"/>
        <v>0</v>
      </c>
      <c r="X45" s="16">
        <f t="shared" si="11"/>
        <v>0</v>
      </c>
      <c r="Y45" s="16">
        <f t="shared" si="11"/>
        <v>0</v>
      </c>
      <c r="Z45" s="37"/>
      <c r="AA45" s="11"/>
    </row>
    <row r="46" spans="1:27" s="2" customFormat="1" ht="45" x14ac:dyDescent="0.25">
      <c r="A46" s="42" t="s">
        <v>288</v>
      </c>
      <c r="B46" s="59"/>
      <c r="C46" s="42" t="s">
        <v>61</v>
      </c>
      <c r="D46" s="44" t="s">
        <v>289</v>
      </c>
      <c r="E46" s="44"/>
      <c r="F46" s="86"/>
      <c r="G46" s="43" t="s">
        <v>253</v>
      </c>
      <c r="H46" s="5" t="s">
        <v>36</v>
      </c>
      <c r="I46" s="5" t="s">
        <v>33</v>
      </c>
      <c r="J46" s="5" t="s">
        <v>35</v>
      </c>
      <c r="K46" s="5" t="s">
        <v>35</v>
      </c>
      <c r="L46" s="5" t="s">
        <v>35</v>
      </c>
      <c r="M46" s="5">
        <v>0</v>
      </c>
      <c r="N46" s="43" t="s">
        <v>130</v>
      </c>
      <c r="O46" s="16"/>
      <c r="P46" s="8"/>
      <c r="Q46" s="9"/>
      <c r="R46" s="16">
        <f t="shared" si="6"/>
        <v>0</v>
      </c>
      <c r="S46" s="8">
        <f t="shared" si="7"/>
        <v>0</v>
      </c>
      <c r="T46" s="19">
        <f t="shared" si="8"/>
        <v>0</v>
      </c>
      <c r="U46" s="19">
        <f t="shared" si="9"/>
        <v>0</v>
      </c>
      <c r="V46" s="19">
        <f t="shared" si="10"/>
        <v>0</v>
      </c>
      <c r="W46" s="16">
        <f t="shared" si="11"/>
        <v>0</v>
      </c>
      <c r="X46" s="16">
        <f t="shared" si="11"/>
        <v>0</v>
      </c>
      <c r="Y46" s="16">
        <f t="shared" si="11"/>
        <v>0</v>
      </c>
      <c r="Z46" s="37"/>
      <c r="AA46" s="11"/>
    </row>
    <row r="47" spans="1:27" s="2" customFormat="1" ht="75" hidden="1" x14ac:dyDescent="0.25">
      <c r="A47" s="42" t="s">
        <v>244</v>
      </c>
      <c r="B47" s="59"/>
      <c r="C47" s="42" t="s">
        <v>61</v>
      </c>
      <c r="D47" s="43" t="s">
        <v>245</v>
      </c>
      <c r="E47" s="43"/>
      <c r="F47" s="85"/>
      <c r="G47" s="43"/>
      <c r="H47" s="5" t="s">
        <v>155</v>
      </c>
      <c r="I47" s="5" t="s">
        <v>33</v>
      </c>
      <c r="J47" s="5" t="s">
        <v>33</v>
      </c>
      <c r="K47" s="5" t="s">
        <v>35</v>
      </c>
      <c r="L47" s="5" t="s">
        <v>35</v>
      </c>
      <c r="M47" s="53">
        <v>2</v>
      </c>
      <c r="N47" s="43" t="s">
        <v>130</v>
      </c>
      <c r="O47" s="16"/>
      <c r="P47" s="8"/>
      <c r="Q47" s="9"/>
      <c r="R47" s="16">
        <f t="shared" si="6"/>
        <v>0</v>
      </c>
      <c r="S47" s="8">
        <f t="shared" si="7"/>
        <v>0</v>
      </c>
      <c r="T47" s="19">
        <f t="shared" si="8"/>
        <v>0</v>
      </c>
      <c r="U47" s="19">
        <f t="shared" si="9"/>
        <v>0</v>
      </c>
      <c r="V47" s="19">
        <f t="shared" si="10"/>
        <v>0</v>
      </c>
      <c r="W47" s="16">
        <f t="shared" si="11"/>
        <v>0</v>
      </c>
      <c r="X47" s="16">
        <f t="shared" si="11"/>
        <v>0</v>
      </c>
      <c r="Y47" s="16">
        <f t="shared" si="11"/>
        <v>0</v>
      </c>
      <c r="Z47" s="37"/>
      <c r="AA47" s="11"/>
    </row>
    <row r="48" spans="1:27" s="2" customFormat="1" ht="45" x14ac:dyDescent="0.25">
      <c r="A48" s="42" t="s">
        <v>273</v>
      </c>
      <c r="B48" s="59"/>
      <c r="C48" s="42" t="s">
        <v>61</v>
      </c>
      <c r="D48" s="44" t="s">
        <v>274</v>
      </c>
      <c r="E48" s="44"/>
      <c r="F48" s="86"/>
      <c r="G48" s="43" t="s">
        <v>253</v>
      </c>
      <c r="H48" s="5" t="s">
        <v>36</v>
      </c>
      <c r="I48" s="5" t="s">
        <v>36</v>
      </c>
      <c r="J48" s="5" t="s">
        <v>35</v>
      </c>
      <c r="K48" s="5" t="s">
        <v>35</v>
      </c>
      <c r="L48" s="5" t="s">
        <v>35</v>
      </c>
      <c r="M48" s="5">
        <v>0</v>
      </c>
      <c r="N48" s="43" t="s">
        <v>130</v>
      </c>
      <c r="O48" s="16"/>
      <c r="P48" s="8"/>
      <c r="Q48" s="9"/>
      <c r="R48" s="16">
        <f t="shared" si="6"/>
        <v>0</v>
      </c>
      <c r="S48" s="8">
        <f t="shared" si="7"/>
        <v>0</v>
      </c>
      <c r="T48" s="19">
        <f t="shared" si="8"/>
        <v>0</v>
      </c>
      <c r="U48" s="19">
        <f t="shared" si="9"/>
        <v>0</v>
      </c>
      <c r="V48" s="19">
        <f t="shared" si="10"/>
        <v>0</v>
      </c>
      <c r="W48" s="16">
        <f t="shared" si="11"/>
        <v>0</v>
      </c>
      <c r="X48" s="16">
        <f t="shared" si="11"/>
        <v>0</v>
      </c>
      <c r="Y48" s="16">
        <f t="shared" si="11"/>
        <v>0</v>
      </c>
      <c r="Z48" s="37"/>
      <c r="AA48" s="11"/>
    </row>
    <row r="49" spans="1:27" s="2" customFormat="1" x14ac:dyDescent="0.25">
      <c r="A49" s="42" t="s">
        <v>283</v>
      </c>
      <c r="B49" s="59"/>
      <c r="C49" s="42" t="s">
        <v>61</v>
      </c>
      <c r="D49" s="44" t="s">
        <v>284</v>
      </c>
      <c r="E49" s="44"/>
      <c r="F49" s="86"/>
      <c r="G49" s="43" t="s">
        <v>253</v>
      </c>
      <c r="H49" s="5" t="s">
        <v>155</v>
      </c>
      <c r="I49" s="5" t="s">
        <v>35</v>
      </c>
      <c r="J49" s="5" t="s">
        <v>35</v>
      </c>
      <c r="K49" s="5" t="s">
        <v>35</v>
      </c>
      <c r="L49" s="5" t="s">
        <v>35</v>
      </c>
      <c r="M49" s="5">
        <v>0</v>
      </c>
      <c r="N49" s="43" t="s">
        <v>130</v>
      </c>
      <c r="O49" s="16"/>
      <c r="P49" s="8"/>
      <c r="Q49" s="9"/>
      <c r="R49" s="16">
        <f t="shared" si="6"/>
        <v>0</v>
      </c>
      <c r="S49" s="8">
        <f t="shared" si="7"/>
        <v>0</v>
      </c>
      <c r="T49" s="19">
        <f t="shared" si="8"/>
        <v>0</v>
      </c>
      <c r="U49" s="19">
        <f t="shared" si="9"/>
        <v>0</v>
      </c>
      <c r="V49" s="19">
        <f t="shared" si="10"/>
        <v>0</v>
      </c>
      <c r="W49" s="16">
        <f t="shared" si="11"/>
        <v>0</v>
      </c>
      <c r="X49" s="16">
        <f t="shared" si="11"/>
        <v>0</v>
      </c>
      <c r="Y49" s="16">
        <f t="shared" si="11"/>
        <v>0</v>
      </c>
      <c r="Z49" s="37"/>
      <c r="AA49" s="11"/>
    </row>
    <row r="50" spans="1:27" s="2" customFormat="1" ht="30" hidden="1" x14ac:dyDescent="0.25">
      <c r="A50" s="42" t="s">
        <v>230</v>
      </c>
      <c r="B50" s="59"/>
      <c r="C50" s="42" t="s">
        <v>61</v>
      </c>
      <c r="D50" s="43" t="s">
        <v>231</v>
      </c>
      <c r="E50" s="43"/>
      <c r="F50" s="85"/>
      <c r="G50" s="43"/>
      <c r="H50" s="5" t="s">
        <v>36</v>
      </c>
      <c r="I50" s="5" t="s">
        <v>36</v>
      </c>
      <c r="J50" s="5" t="s">
        <v>36</v>
      </c>
      <c r="K50" s="5" t="s">
        <v>35</v>
      </c>
      <c r="L50" s="5" t="s">
        <v>35</v>
      </c>
      <c r="M50" s="53">
        <v>3</v>
      </c>
      <c r="N50" s="43" t="s">
        <v>130</v>
      </c>
      <c r="O50" s="16"/>
      <c r="P50" s="8"/>
      <c r="Q50" s="9"/>
      <c r="R50" s="16">
        <f t="shared" si="6"/>
        <v>0</v>
      </c>
      <c r="S50" s="8">
        <f t="shared" si="7"/>
        <v>0</v>
      </c>
      <c r="T50" s="19">
        <f t="shared" si="8"/>
        <v>0</v>
      </c>
      <c r="U50" s="19">
        <f t="shared" si="9"/>
        <v>0</v>
      </c>
      <c r="V50" s="19">
        <f t="shared" si="10"/>
        <v>0</v>
      </c>
      <c r="W50" s="16">
        <f t="shared" si="11"/>
        <v>0</v>
      </c>
      <c r="X50" s="16">
        <f t="shared" si="11"/>
        <v>0</v>
      </c>
      <c r="Y50" s="16">
        <f t="shared" si="11"/>
        <v>0</v>
      </c>
      <c r="Z50" s="37"/>
      <c r="AA50" s="11"/>
    </row>
    <row r="51" spans="1:27" s="2" customFormat="1" ht="45" hidden="1" x14ac:dyDescent="0.25">
      <c r="A51" s="42" t="s">
        <v>145</v>
      </c>
      <c r="B51" s="59">
        <v>3353</v>
      </c>
      <c r="C51" s="42" t="s">
        <v>61</v>
      </c>
      <c r="D51" s="43" t="s">
        <v>146</v>
      </c>
      <c r="E51" s="43"/>
      <c r="F51" s="85"/>
      <c r="G51" s="43" t="s">
        <v>147</v>
      </c>
      <c r="H51" s="5" t="s">
        <v>33</v>
      </c>
      <c r="I51" s="5" t="s">
        <v>35</v>
      </c>
      <c r="J51" s="5" t="s">
        <v>33</v>
      </c>
      <c r="K51" s="5" t="s">
        <v>35</v>
      </c>
      <c r="L51" s="5" t="s">
        <v>35</v>
      </c>
      <c r="M51" s="52">
        <v>10</v>
      </c>
      <c r="N51" s="43" t="s">
        <v>130</v>
      </c>
      <c r="O51" s="16">
        <v>0</v>
      </c>
      <c r="P51" s="8"/>
      <c r="Q51" s="9">
        <v>0.5</v>
      </c>
      <c r="R51" s="16">
        <f t="shared" si="6"/>
        <v>0</v>
      </c>
      <c r="S51" s="8">
        <f t="shared" si="7"/>
        <v>0</v>
      </c>
      <c r="T51" s="19">
        <f t="shared" si="8"/>
        <v>0.375</v>
      </c>
      <c r="U51" s="19">
        <f t="shared" si="9"/>
        <v>0.625</v>
      </c>
      <c r="V51" s="19">
        <f t="shared" si="10"/>
        <v>7.216878364870323E-2</v>
      </c>
      <c r="W51" s="16">
        <f t="shared" si="11"/>
        <v>0</v>
      </c>
      <c r="X51" s="16">
        <f t="shared" si="11"/>
        <v>0</v>
      </c>
      <c r="Y51" s="16">
        <f t="shared" si="11"/>
        <v>0</v>
      </c>
      <c r="Z51" s="37"/>
      <c r="AA51" s="11"/>
    </row>
    <row r="52" spans="1:27" s="2" customFormat="1" ht="45" hidden="1" x14ac:dyDescent="0.25">
      <c r="A52" s="42" t="s">
        <v>143</v>
      </c>
      <c r="B52" s="59">
        <v>3354</v>
      </c>
      <c r="C52" s="42" t="s">
        <v>61</v>
      </c>
      <c r="D52" s="89" t="s">
        <v>144</v>
      </c>
      <c r="E52" s="89"/>
      <c r="F52" s="88">
        <v>50000</v>
      </c>
      <c r="G52" s="43" t="s">
        <v>63</v>
      </c>
      <c r="H52" s="5" t="s">
        <v>33</v>
      </c>
      <c r="I52" s="5" t="s">
        <v>35</v>
      </c>
      <c r="J52" s="5" t="s">
        <v>33</v>
      </c>
      <c r="K52" s="5" t="s">
        <v>35</v>
      </c>
      <c r="L52" s="5" t="s">
        <v>35</v>
      </c>
      <c r="M52" s="52">
        <v>10</v>
      </c>
      <c r="N52" s="43" t="s">
        <v>113</v>
      </c>
      <c r="O52" s="71">
        <v>0</v>
      </c>
      <c r="P52" s="8"/>
      <c r="Q52" s="9">
        <v>0.5</v>
      </c>
      <c r="R52" s="16">
        <f t="shared" si="6"/>
        <v>0</v>
      </c>
      <c r="S52" s="8">
        <f t="shared" si="7"/>
        <v>0</v>
      </c>
      <c r="T52" s="19">
        <f t="shared" si="8"/>
        <v>0.375</v>
      </c>
      <c r="U52" s="19">
        <f t="shared" si="9"/>
        <v>0.625</v>
      </c>
      <c r="V52" s="19">
        <f t="shared" si="10"/>
        <v>7.216878364870323E-2</v>
      </c>
      <c r="W52" s="16">
        <f t="shared" si="11"/>
        <v>0</v>
      </c>
      <c r="X52" s="16">
        <f t="shared" si="11"/>
        <v>0</v>
      </c>
      <c r="Y52" s="16">
        <f t="shared" si="11"/>
        <v>0</v>
      </c>
      <c r="Z52" s="37"/>
      <c r="AA52" s="11"/>
    </row>
    <row r="53" spans="1:27" s="2" customFormat="1" ht="30" hidden="1" x14ac:dyDescent="0.25">
      <c r="A53" s="42" t="s">
        <v>139</v>
      </c>
      <c r="B53" s="59">
        <v>3355</v>
      </c>
      <c r="C53" s="42" t="s">
        <v>61</v>
      </c>
      <c r="D53" s="89" t="s">
        <v>140</v>
      </c>
      <c r="E53" s="89"/>
      <c r="F53" s="88"/>
      <c r="G53" s="43" t="s">
        <v>63</v>
      </c>
      <c r="H53" s="5" t="s">
        <v>33</v>
      </c>
      <c r="I53" s="5" t="s">
        <v>33</v>
      </c>
      <c r="J53" s="5" t="s">
        <v>33</v>
      </c>
      <c r="K53" s="5" t="s">
        <v>35</v>
      </c>
      <c r="L53" s="5" t="s">
        <v>35</v>
      </c>
      <c r="M53" s="52">
        <v>10</v>
      </c>
      <c r="N53" s="43" t="s">
        <v>141</v>
      </c>
      <c r="O53" s="71">
        <v>0</v>
      </c>
      <c r="P53" s="72">
        <v>0</v>
      </c>
      <c r="Q53" s="9">
        <v>0.5</v>
      </c>
      <c r="R53" s="16">
        <f t="shared" si="6"/>
        <v>0</v>
      </c>
      <c r="S53" s="8">
        <f t="shared" si="7"/>
        <v>0</v>
      </c>
      <c r="T53" s="19">
        <f t="shared" si="8"/>
        <v>0.375</v>
      </c>
      <c r="U53" s="19">
        <f t="shared" si="9"/>
        <v>0.625</v>
      </c>
      <c r="V53" s="19">
        <f t="shared" si="10"/>
        <v>7.216878364870323E-2</v>
      </c>
      <c r="W53" s="16">
        <f t="shared" si="11"/>
        <v>0</v>
      </c>
      <c r="X53" s="16">
        <f t="shared" si="11"/>
        <v>0</v>
      </c>
      <c r="Y53" s="16">
        <f t="shared" si="11"/>
        <v>0</v>
      </c>
      <c r="Z53" s="37"/>
      <c r="AA53" s="11"/>
    </row>
    <row r="54" spans="1:27" s="2" customFormat="1" ht="45" hidden="1" x14ac:dyDescent="0.25">
      <c r="A54" s="42" t="s">
        <v>142</v>
      </c>
      <c r="B54" s="59">
        <v>3356</v>
      </c>
      <c r="C54" s="42" t="s">
        <v>61</v>
      </c>
      <c r="D54" s="90" t="s">
        <v>306</v>
      </c>
      <c r="E54" s="90"/>
      <c r="F54" s="91"/>
      <c r="G54" s="43" t="s">
        <v>63</v>
      </c>
      <c r="H54" s="5" t="s">
        <v>33</v>
      </c>
      <c r="I54" s="5" t="s">
        <v>35</v>
      </c>
      <c r="J54" s="5" t="s">
        <v>33</v>
      </c>
      <c r="K54" s="5" t="s">
        <v>35</v>
      </c>
      <c r="L54" s="5" t="s">
        <v>35</v>
      </c>
      <c r="M54" s="52">
        <v>10</v>
      </c>
      <c r="N54" s="43" t="s">
        <v>141</v>
      </c>
      <c r="O54" s="71">
        <v>0</v>
      </c>
      <c r="P54" s="8"/>
      <c r="Q54" s="9">
        <v>0.5</v>
      </c>
      <c r="R54" s="16">
        <f t="shared" si="6"/>
        <v>0</v>
      </c>
      <c r="S54" s="8">
        <f t="shared" si="7"/>
        <v>0</v>
      </c>
      <c r="T54" s="19">
        <f t="shared" si="8"/>
        <v>0.375</v>
      </c>
      <c r="U54" s="19">
        <f t="shared" si="9"/>
        <v>0.625</v>
      </c>
      <c r="V54" s="19">
        <f t="shared" si="10"/>
        <v>7.216878364870323E-2</v>
      </c>
      <c r="W54" s="16">
        <f t="shared" si="11"/>
        <v>0</v>
      </c>
      <c r="X54" s="16">
        <f t="shared" si="11"/>
        <v>0</v>
      </c>
      <c r="Y54" s="16">
        <f t="shared" si="11"/>
        <v>0</v>
      </c>
      <c r="Z54" s="37"/>
      <c r="AA54" s="11"/>
    </row>
    <row r="55" spans="1:27" s="2" customFormat="1" ht="30" hidden="1" x14ac:dyDescent="0.25">
      <c r="A55" s="42" t="s">
        <v>21</v>
      </c>
      <c r="B55" s="59">
        <v>3357</v>
      </c>
      <c r="C55" s="42" t="s">
        <v>61</v>
      </c>
      <c r="D55" s="89" t="s">
        <v>22</v>
      </c>
      <c r="E55" s="89"/>
      <c r="F55" s="88"/>
      <c r="G55" s="43" t="s">
        <v>63</v>
      </c>
      <c r="H55" s="5" t="s">
        <v>155</v>
      </c>
      <c r="I55" s="5" t="s">
        <v>35</v>
      </c>
      <c r="J55" s="5" t="s">
        <v>34</v>
      </c>
      <c r="K55" s="5" t="s">
        <v>34</v>
      </c>
      <c r="L55" s="5" t="s">
        <v>64</v>
      </c>
      <c r="M55" s="52">
        <v>8</v>
      </c>
      <c r="N55" s="43" t="s">
        <v>141</v>
      </c>
      <c r="O55" s="16">
        <v>0</v>
      </c>
      <c r="P55" s="8"/>
      <c r="Q55" s="9">
        <v>0.05</v>
      </c>
      <c r="R55" s="16">
        <f t="shared" si="6"/>
        <v>0</v>
      </c>
      <c r="S55" s="8">
        <f t="shared" si="7"/>
        <v>0</v>
      </c>
      <c r="T55" s="19">
        <f t="shared" si="8"/>
        <v>-7.4999999999999997E-2</v>
      </c>
      <c r="U55" s="19">
        <f t="shared" si="9"/>
        <v>0.17499999999999999</v>
      </c>
      <c r="V55" s="19">
        <f t="shared" si="10"/>
        <v>7.216878364870323E-2</v>
      </c>
      <c r="W55" s="16">
        <f t="shared" si="11"/>
        <v>0</v>
      </c>
      <c r="X55" s="16">
        <f t="shared" si="11"/>
        <v>0</v>
      </c>
      <c r="Y55" s="16">
        <f t="shared" si="11"/>
        <v>0</v>
      </c>
      <c r="Z55" s="37"/>
      <c r="AA55" s="11"/>
    </row>
    <row r="56" spans="1:27" s="2" customFormat="1" ht="45" hidden="1" x14ac:dyDescent="0.25">
      <c r="A56" s="42" t="s">
        <v>150</v>
      </c>
      <c r="B56" s="59">
        <v>3358</v>
      </c>
      <c r="C56" s="42" t="s">
        <v>61</v>
      </c>
      <c r="D56" s="43" t="s">
        <v>151</v>
      </c>
      <c r="E56" s="43"/>
      <c r="F56" s="85">
        <v>20000</v>
      </c>
      <c r="G56" s="43"/>
      <c r="H56" s="75" t="s">
        <v>33</v>
      </c>
      <c r="I56" s="5" t="s">
        <v>35</v>
      </c>
      <c r="J56" s="5" t="s">
        <v>34</v>
      </c>
      <c r="K56" s="5" t="s">
        <v>35</v>
      </c>
      <c r="L56" s="5" t="s">
        <v>35</v>
      </c>
      <c r="M56" s="52">
        <v>10</v>
      </c>
      <c r="N56" s="43" t="s">
        <v>152</v>
      </c>
      <c r="O56" s="71">
        <v>1000000</v>
      </c>
      <c r="P56" s="8"/>
      <c r="Q56" s="9">
        <v>0.5</v>
      </c>
      <c r="R56" s="16">
        <f t="shared" si="6"/>
        <v>500000</v>
      </c>
      <c r="S56" s="8">
        <f t="shared" si="7"/>
        <v>0</v>
      </c>
      <c r="T56" s="19">
        <f t="shared" si="8"/>
        <v>0.375</v>
      </c>
      <c r="U56" s="19">
        <f t="shared" si="9"/>
        <v>0.625</v>
      </c>
      <c r="V56" s="19">
        <f t="shared" si="10"/>
        <v>7.216878364870323E-2</v>
      </c>
      <c r="W56" s="16">
        <f t="shared" si="11"/>
        <v>879.5</v>
      </c>
      <c r="X56" s="16">
        <f t="shared" si="11"/>
        <v>910</v>
      </c>
      <c r="Y56" s="16">
        <f t="shared" si="11"/>
        <v>955</v>
      </c>
      <c r="Z56" s="37"/>
      <c r="AA56" s="11"/>
    </row>
    <row r="57" spans="1:27" s="2" customFormat="1" ht="30" x14ac:dyDescent="0.25">
      <c r="A57" s="42" t="s">
        <v>275</v>
      </c>
      <c r="B57" s="59"/>
      <c r="C57" s="42" t="s">
        <v>61</v>
      </c>
      <c r="D57" s="44" t="s">
        <v>276</v>
      </c>
      <c r="E57" s="44"/>
      <c r="F57" s="86"/>
      <c r="G57" s="43" t="s">
        <v>253</v>
      </c>
      <c r="H57" s="5" t="s">
        <v>36</v>
      </c>
      <c r="I57" s="5" t="s">
        <v>35</v>
      </c>
      <c r="J57" s="5" t="s">
        <v>33</v>
      </c>
      <c r="K57" s="5" t="s">
        <v>35</v>
      </c>
      <c r="L57" s="5" t="s">
        <v>35</v>
      </c>
      <c r="M57" s="5">
        <v>0</v>
      </c>
      <c r="N57" s="43" t="s">
        <v>152</v>
      </c>
      <c r="O57" s="16"/>
      <c r="P57" s="8"/>
      <c r="Q57" s="9"/>
      <c r="R57" s="16">
        <f t="shared" si="6"/>
        <v>0</v>
      </c>
      <c r="S57" s="8">
        <f t="shared" si="7"/>
        <v>0</v>
      </c>
      <c r="T57" s="19">
        <f t="shared" si="8"/>
        <v>0</v>
      </c>
      <c r="U57" s="19">
        <f t="shared" si="9"/>
        <v>0</v>
      </c>
      <c r="V57" s="19">
        <f t="shared" si="10"/>
        <v>0</v>
      </c>
      <c r="W57" s="16">
        <f t="shared" si="11"/>
        <v>0</v>
      </c>
      <c r="X57" s="16">
        <f t="shared" si="11"/>
        <v>0</v>
      </c>
      <c r="Y57" s="16">
        <f t="shared" si="11"/>
        <v>0</v>
      </c>
      <c r="Z57" s="37"/>
      <c r="AA57" s="11"/>
    </row>
    <row r="58" spans="1:27" s="2" customFormat="1" ht="30" hidden="1" x14ac:dyDescent="0.25">
      <c r="A58" s="42" t="s">
        <v>173</v>
      </c>
      <c r="B58" s="59">
        <v>3359</v>
      </c>
      <c r="C58" s="42" t="s">
        <v>61</v>
      </c>
      <c r="D58" s="89" t="s">
        <v>174</v>
      </c>
      <c r="E58" s="89"/>
      <c r="F58" s="88">
        <v>200000</v>
      </c>
      <c r="G58" s="43" t="s">
        <v>63</v>
      </c>
      <c r="H58" s="5" t="s">
        <v>36</v>
      </c>
      <c r="I58" s="5" t="s">
        <v>35</v>
      </c>
      <c r="J58" s="5" t="s">
        <v>35</v>
      </c>
      <c r="K58" s="5" t="s">
        <v>33</v>
      </c>
      <c r="L58" s="5" t="s">
        <v>35</v>
      </c>
      <c r="M58" s="52">
        <v>6</v>
      </c>
      <c r="N58" s="43" t="s">
        <v>152</v>
      </c>
      <c r="O58" s="16">
        <v>0</v>
      </c>
      <c r="P58" s="8"/>
      <c r="Q58" s="9">
        <v>0.17</v>
      </c>
      <c r="R58" s="16">
        <f t="shared" si="6"/>
        <v>0</v>
      </c>
      <c r="S58" s="8">
        <f t="shared" si="7"/>
        <v>0</v>
      </c>
      <c r="T58" s="19">
        <f t="shared" si="8"/>
        <v>4.5000000000000012E-2</v>
      </c>
      <c r="U58" s="19">
        <f t="shared" si="9"/>
        <v>0.29500000000000004</v>
      </c>
      <c r="V58" s="19">
        <f t="shared" si="10"/>
        <v>7.216878364870323E-2</v>
      </c>
      <c r="W58" s="16">
        <f t="shared" si="11"/>
        <v>0</v>
      </c>
      <c r="X58" s="16">
        <f t="shared" si="11"/>
        <v>0</v>
      </c>
      <c r="Y58" s="16">
        <f t="shared" si="11"/>
        <v>0</v>
      </c>
      <c r="Z58" s="37"/>
      <c r="AA58" s="11"/>
    </row>
    <row r="59" spans="1:27" s="2" customFormat="1" ht="30" hidden="1" x14ac:dyDescent="0.25">
      <c r="A59" s="42" t="s">
        <v>131</v>
      </c>
      <c r="B59" s="59">
        <v>3360</v>
      </c>
      <c r="C59" s="42" t="s">
        <v>61</v>
      </c>
      <c r="D59" s="43" t="s">
        <v>132</v>
      </c>
      <c r="E59" s="43"/>
      <c r="F59" s="85"/>
      <c r="G59" s="43"/>
      <c r="H59" s="5" t="s">
        <v>33</v>
      </c>
      <c r="I59" s="5" t="s">
        <v>33</v>
      </c>
      <c r="J59" s="5" t="s">
        <v>33</v>
      </c>
      <c r="K59" s="5" t="s">
        <v>35</v>
      </c>
      <c r="L59" s="5" t="s">
        <v>35</v>
      </c>
      <c r="M59" s="52">
        <v>10</v>
      </c>
      <c r="N59" s="43" t="s">
        <v>113</v>
      </c>
      <c r="O59" s="71">
        <v>400000</v>
      </c>
      <c r="P59" s="72">
        <v>0</v>
      </c>
      <c r="Q59" s="9">
        <v>0.5</v>
      </c>
      <c r="R59" s="16">
        <f t="shared" si="6"/>
        <v>200000</v>
      </c>
      <c r="S59" s="8">
        <f t="shared" si="7"/>
        <v>0</v>
      </c>
      <c r="T59" s="19">
        <f t="shared" si="8"/>
        <v>0.375</v>
      </c>
      <c r="U59" s="19">
        <f t="shared" si="9"/>
        <v>0.625</v>
      </c>
      <c r="V59" s="19">
        <f t="shared" si="10"/>
        <v>7.216878364870323E-2</v>
      </c>
      <c r="W59" s="16">
        <f t="shared" ref="W59:Y78" si="12">W$121*$R59/$R$121  *  IF($T$1="Y", 1, IF($O59&lt;0,0,1))</f>
        <v>351.8</v>
      </c>
      <c r="X59" s="16">
        <f t="shared" si="12"/>
        <v>364</v>
      </c>
      <c r="Y59" s="16">
        <f t="shared" si="12"/>
        <v>382</v>
      </c>
      <c r="Z59" s="37"/>
      <c r="AA59" s="11"/>
    </row>
    <row r="60" spans="1:27" s="2" customFormat="1" ht="45" hidden="1" x14ac:dyDescent="0.25">
      <c r="A60" s="42" t="s">
        <v>314</v>
      </c>
      <c r="B60" s="59" t="s">
        <v>333</v>
      </c>
      <c r="C60" s="42" t="s">
        <v>61</v>
      </c>
      <c r="D60" s="89" t="s">
        <v>315</v>
      </c>
      <c r="E60" s="89"/>
      <c r="F60" s="88">
        <v>3000000</v>
      </c>
      <c r="G60" s="43" t="s">
        <v>63</v>
      </c>
      <c r="H60" s="5" t="s">
        <v>36</v>
      </c>
      <c r="I60" s="5" t="s">
        <v>35</v>
      </c>
      <c r="J60" s="5" t="s">
        <v>64</v>
      </c>
      <c r="K60" s="5" t="s">
        <v>33</v>
      </c>
      <c r="L60" s="5" t="s">
        <v>33</v>
      </c>
      <c r="M60" s="52"/>
      <c r="N60" s="43" t="s">
        <v>113</v>
      </c>
      <c r="O60" s="71"/>
      <c r="P60" s="72"/>
      <c r="Q60" s="9"/>
      <c r="R60" s="16">
        <f t="shared" si="6"/>
        <v>0</v>
      </c>
      <c r="S60" s="8">
        <f t="shared" si="7"/>
        <v>0</v>
      </c>
      <c r="T60" s="19">
        <f t="shared" si="8"/>
        <v>0</v>
      </c>
      <c r="U60" s="19">
        <f t="shared" si="9"/>
        <v>0</v>
      </c>
      <c r="V60" s="19">
        <f t="shared" si="10"/>
        <v>0</v>
      </c>
      <c r="W60" s="16">
        <f t="shared" si="12"/>
        <v>0</v>
      </c>
      <c r="X60" s="16">
        <f t="shared" si="12"/>
        <v>0</v>
      </c>
      <c r="Y60" s="16">
        <f t="shared" si="12"/>
        <v>0</v>
      </c>
      <c r="Z60" s="37"/>
      <c r="AA60" s="11"/>
    </row>
    <row r="61" spans="1:27" s="2" customFormat="1" ht="54" hidden="1" customHeight="1" x14ac:dyDescent="0.25">
      <c r="A61" s="42" t="s">
        <v>316</v>
      </c>
      <c r="B61" s="59" t="s">
        <v>333</v>
      </c>
      <c r="C61" s="42" t="s">
        <v>61</v>
      </c>
      <c r="D61" s="92" t="s">
        <v>210</v>
      </c>
      <c r="E61" s="89" t="s">
        <v>211</v>
      </c>
      <c r="F61" s="88" t="s">
        <v>212</v>
      </c>
      <c r="G61" s="43" t="s">
        <v>63</v>
      </c>
      <c r="H61" s="5" t="s">
        <v>155</v>
      </c>
      <c r="I61" s="5" t="s">
        <v>64</v>
      </c>
      <c r="J61" s="5" t="s">
        <v>64</v>
      </c>
      <c r="K61" s="5" t="s">
        <v>64</v>
      </c>
      <c r="L61" s="5" t="s">
        <v>64</v>
      </c>
      <c r="M61" s="52"/>
      <c r="N61" s="43" t="s">
        <v>320</v>
      </c>
      <c r="O61" s="71"/>
      <c r="P61" s="72"/>
      <c r="Q61" s="9"/>
      <c r="R61" s="16">
        <f t="shared" si="6"/>
        <v>0</v>
      </c>
      <c r="S61" s="8">
        <f t="shared" si="7"/>
        <v>0</v>
      </c>
      <c r="T61" s="19">
        <f t="shared" si="8"/>
        <v>0</v>
      </c>
      <c r="U61" s="19">
        <f t="shared" si="9"/>
        <v>0</v>
      </c>
      <c r="V61" s="19">
        <f t="shared" si="10"/>
        <v>0</v>
      </c>
      <c r="W61" s="16">
        <f t="shared" si="12"/>
        <v>0</v>
      </c>
      <c r="X61" s="16">
        <f t="shared" si="12"/>
        <v>0</v>
      </c>
      <c r="Y61" s="16">
        <f t="shared" si="12"/>
        <v>0</v>
      </c>
      <c r="Z61" s="37"/>
      <c r="AA61" s="11"/>
    </row>
    <row r="62" spans="1:27" s="2" customFormat="1" ht="45" hidden="1" x14ac:dyDescent="0.25">
      <c r="A62" s="42" t="s">
        <v>317</v>
      </c>
      <c r="B62" s="59" t="s">
        <v>333</v>
      </c>
      <c r="C62" s="42" t="s">
        <v>61</v>
      </c>
      <c r="D62" s="89" t="s">
        <v>327</v>
      </c>
      <c r="E62" s="89"/>
      <c r="F62" s="88" t="s">
        <v>213</v>
      </c>
      <c r="G62" s="43" t="s">
        <v>63</v>
      </c>
      <c r="H62" s="5" t="s">
        <v>36</v>
      </c>
      <c r="I62" s="5" t="s">
        <v>35</v>
      </c>
      <c r="J62" s="5" t="s">
        <v>33</v>
      </c>
      <c r="K62" s="5" t="s">
        <v>35</v>
      </c>
      <c r="L62" s="5" t="s">
        <v>35</v>
      </c>
      <c r="M62" s="52"/>
      <c r="N62" s="43" t="s">
        <v>214</v>
      </c>
      <c r="O62" s="71"/>
      <c r="P62" s="72"/>
      <c r="Q62" s="9"/>
      <c r="R62" s="16">
        <f t="shared" si="6"/>
        <v>0</v>
      </c>
      <c r="S62" s="8">
        <f t="shared" si="7"/>
        <v>0</v>
      </c>
      <c r="T62" s="19">
        <f t="shared" si="8"/>
        <v>0</v>
      </c>
      <c r="U62" s="19">
        <f t="shared" si="9"/>
        <v>0</v>
      </c>
      <c r="V62" s="19">
        <f t="shared" si="10"/>
        <v>0</v>
      </c>
      <c r="W62" s="16">
        <f t="shared" si="12"/>
        <v>0</v>
      </c>
      <c r="X62" s="16">
        <f t="shared" si="12"/>
        <v>0</v>
      </c>
      <c r="Y62" s="16">
        <f t="shared" si="12"/>
        <v>0</v>
      </c>
      <c r="Z62" s="37"/>
      <c r="AA62" s="11"/>
    </row>
    <row r="63" spans="1:27" s="2" customFormat="1" ht="26.25" hidden="1" x14ac:dyDescent="0.25">
      <c r="A63" s="42" t="s">
        <v>318</v>
      </c>
      <c r="B63" s="59" t="s">
        <v>333</v>
      </c>
      <c r="C63" s="42" t="s">
        <v>61</v>
      </c>
      <c r="D63" s="84" t="s">
        <v>216</v>
      </c>
      <c r="E63" s="43"/>
      <c r="F63" s="85"/>
      <c r="G63" s="43"/>
      <c r="H63" s="5" t="s">
        <v>36</v>
      </c>
      <c r="I63" s="5" t="s">
        <v>35</v>
      </c>
      <c r="J63" s="5" t="s">
        <v>33</v>
      </c>
      <c r="K63" s="5" t="s">
        <v>33</v>
      </c>
      <c r="L63" s="5" t="s">
        <v>35</v>
      </c>
      <c r="M63" s="52"/>
      <c r="N63" s="83" t="s">
        <v>215</v>
      </c>
      <c r="O63" s="71">
        <v>200000</v>
      </c>
      <c r="P63" s="72"/>
      <c r="Q63" s="9">
        <v>0.17</v>
      </c>
      <c r="R63" s="16">
        <f t="shared" si="6"/>
        <v>34000</v>
      </c>
      <c r="S63" s="8">
        <f t="shared" si="7"/>
        <v>0</v>
      </c>
      <c r="T63" s="19">
        <f t="shared" si="8"/>
        <v>4.5000000000000012E-2</v>
      </c>
      <c r="U63" s="19">
        <f t="shared" si="9"/>
        <v>0.29500000000000004</v>
      </c>
      <c r="V63" s="19">
        <f t="shared" si="10"/>
        <v>7.216878364870323E-2</v>
      </c>
      <c r="W63" s="16">
        <f t="shared" si="12"/>
        <v>59.805999999999997</v>
      </c>
      <c r="X63" s="16">
        <f t="shared" si="12"/>
        <v>61.88</v>
      </c>
      <c r="Y63" s="16">
        <f t="shared" si="12"/>
        <v>64.94</v>
      </c>
      <c r="Z63" s="37"/>
      <c r="AA63" s="11"/>
    </row>
    <row r="64" spans="1:27" s="2" customFormat="1" ht="26.25" hidden="1" x14ac:dyDescent="0.25">
      <c r="A64" s="42" t="s">
        <v>319</v>
      </c>
      <c r="B64" s="59" t="s">
        <v>333</v>
      </c>
      <c r="C64" s="42" t="s">
        <v>61</v>
      </c>
      <c r="D64" s="84" t="s">
        <v>328</v>
      </c>
      <c r="E64" s="43"/>
      <c r="F64" s="85"/>
      <c r="G64" s="43"/>
      <c r="H64" s="5" t="s">
        <v>33</v>
      </c>
      <c r="I64" s="5" t="s">
        <v>35</v>
      </c>
      <c r="J64" s="5" t="s">
        <v>33</v>
      </c>
      <c r="K64" s="5" t="s">
        <v>33</v>
      </c>
      <c r="L64" s="5" t="s">
        <v>155</v>
      </c>
      <c r="M64" s="52"/>
      <c r="N64" s="43" t="s">
        <v>113</v>
      </c>
      <c r="O64" s="71">
        <v>250000</v>
      </c>
      <c r="P64" s="72"/>
      <c r="Q64" s="9">
        <v>0.5</v>
      </c>
      <c r="R64" s="16">
        <f t="shared" si="6"/>
        <v>125000</v>
      </c>
      <c r="S64" s="8">
        <f t="shared" si="7"/>
        <v>0</v>
      </c>
      <c r="T64" s="19">
        <f t="shared" si="8"/>
        <v>0.375</v>
      </c>
      <c r="U64" s="19">
        <f t="shared" si="9"/>
        <v>0.625</v>
      </c>
      <c r="V64" s="19">
        <f t="shared" si="10"/>
        <v>7.216878364870323E-2</v>
      </c>
      <c r="W64" s="16">
        <f t="shared" si="12"/>
        <v>219.875</v>
      </c>
      <c r="X64" s="16">
        <f t="shared" si="12"/>
        <v>227.5</v>
      </c>
      <c r="Y64" s="16">
        <f t="shared" si="12"/>
        <v>238.75</v>
      </c>
      <c r="Z64" s="37"/>
      <c r="AA64" s="11"/>
    </row>
    <row r="65" spans="1:27" s="2" customFormat="1" ht="45" hidden="1" x14ac:dyDescent="0.25">
      <c r="A65" s="42" t="s">
        <v>201</v>
      </c>
      <c r="B65" s="59"/>
      <c r="C65" s="42" t="s">
        <v>61</v>
      </c>
      <c r="D65" s="43" t="s">
        <v>202</v>
      </c>
      <c r="E65" s="43"/>
      <c r="F65" s="85"/>
      <c r="G65" s="43"/>
      <c r="H65" s="5" t="s">
        <v>33</v>
      </c>
      <c r="I65" s="5" t="s">
        <v>36</v>
      </c>
      <c r="J65" s="5" t="s">
        <v>35</v>
      </c>
      <c r="K65" s="5" t="s">
        <v>35</v>
      </c>
      <c r="L65" s="5" t="s">
        <v>35</v>
      </c>
      <c r="M65" s="53">
        <v>5</v>
      </c>
      <c r="N65" s="43" t="s">
        <v>74</v>
      </c>
      <c r="O65" s="16"/>
      <c r="P65" s="8"/>
      <c r="Q65" s="9"/>
      <c r="R65" s="16">
        <f t="shared" si="6"/>
        <v>0</v>
      </c>
      <c r="S65" s="8">
        <f t="shared" si="7"/>
        <v>0</v>
      </c>
      <c r="T65" s="19">
        <f t="shared" si="8"/>
        <v>0</v>
      </c>
      <c r="U65" s="19">
        <f t="shared" si="9"/>
        <v>0</v>
      </c>
      <c r="V65" s="19">
        <f t="shared" si="10"/>
        <v>0</v>
      </c>
      <c r="W65" s="16">
        <f t="shared" si="12"/>
        <v>0</v>
      </c>
      <c r="X65" s="16">
        <f t="shared" si="12"/>
        <v>0</v>
      </c>
      <c r="Y65" s="16">
        <f t="shared" si="12"/>
        <v>0</v>
      </c>
      <c r="Z65" s="37"/>
      <c r="AA65" s="11"/>
    </row>
    <row r="66" spans="1:27" s="2" customFormat="1" ht="60" x14ac:dyDescent="0.25">
      <c r="A66" s="42" t="s">
        <v>148</v>
      </c>
      <c r="B66" s="59">
        <v>3361</v>
      </c>
      <c r="C66" s="42" t="s">
        <v>121</v>
      </c>
      <c r="D66" s="44" t="s">
        <v>149</v>
      </c>
      <c r="E66" s="44"/>
      <c r="F66" s="86"/>
      <c r="G66" s="43"/>
      <c r="H66" s="5" t="s">
        <v>33</v>
      </c>
      <c r="I66" s="5" t="s">
        <v>33</v>
      </c>
      <c r="J66" s="5" t="s">
        <v>35</v>
      </c>
      <c r="K66" s="5" t="s">
        <v>35</v>
      </c>
      <c r="L66" s="5" t="s">
        <v>35</v>
      </c>
      <c r="M66" s="52">
        <v>10</v>
      </c>
      <c r="N66" s="43" t="s">
        <v>74</v>
      </c>
      <c r="O66" s="16">
        <v>0</v>
      </c>
      <c r="P66" s="8"/>
      <c r="Q66" s="9">
        <v>0.5</v>
      </c>
      <c r="R66" s="16">
        <f t="shared" si="6"/>
        <v>0</v>
      </c>
      <c r="S66" s="8">
        <f t="shared" si="7"/>
        <v>0</v>
      </c>
      <c r="T66" s="19">
        <f t="shared" si="8"/>
        <v>0.375</v>
      </c>
      <c r="U66" s="19">
        <f t="shared" si="9"/>
        <v>0.625</v>
      </c>
      <c r="V66" s="19">
        <f t="shared" si="10"/>
        <v>7.216878364870323E-2</v>
      </c>
      <c r="W66" s="16">
        <f t="shared" si="12"/>
        <v>0</v>
      </c>
      <c r="X66" s="16">
        <f t="shared" si="12"/>
        <v>0</v>
      </c>
      <c r="Y66" s="16">
        <f t="shared" si="12"/>
        <v>0</v>
      </c>
      <c r="Z66" s="37"/>
      <c r="AA66" s="11"/>
    </row>
    <row r="67" spans="1:27" s="2" customFormat="1" ht="30" x14ac:dyDescent="0.25">
      <c r="A67" s="42" t="s">
        <v>279</v>
      </c>
      <c r="B67" s="59"/>
      <c r="C67" s="42" t="s">
        <v>61</v>
      </c>
      <c r="D67" s="44" t="s">
        <v>280</v>
      </c>
      <c r="E67" s="44"/>
      <c r="F67" s="86"/>
      <c r="G67" s="43" t="s">
        <v>253</v>
      </c>
      <c r="H67" s="5" t="s">
        <v>33</v>
      </c>
      <c r="I67" s="5" t="s">
        <v>34</v>
      </c>
      <c r="J67" s="5" t="s">
        <v>35</v>
      </c>
      <c r="K67" s="5" t="s">
        <v>35</v>
      </c>
      <c r="L67" s="5" t="s">
        <v>35</v>
      </c>
      <c r="M67" s="5">
        <v>0</v>
      </c>
      <c r="N67" s="43" t="s">
        <v>74</v>
      </c>
      <c r="O67" s="16"/>
      <c r="P67" s="8"/>
      <c r="Q67" s="9"/>
      <c r="R67" s="16">
        <f t="shared" si="6"/>
        <v>0</v>
      </c>
      <c r="S67" s="8">
        <f t="shared" si="7"/>
        <v>0</v>
      </c>
      <c r="T67" s="19">
        <f t="shared" si="8"/>
        <v>0</v>
      </c>
      <c r="U67" s="19">
        <f t="shared" si="9"/>
        <v>0</v>
      </c>
      <c r="V67" s="19">
        <f t="shared" si="10"/>
        <v>0</v>
      </c>
      <c r="W67" s="16">
        <f t="shared" si="12"/>
        <v>0</v>
      </c>
      <c r="X67" s="16">
        <f t="shared" si="12"/>
        <v>0</v>
      </c>
      <c r="Y67" s="16">
        <f t="shared" si="12"/>
        <v>0</v>
      </c>
      <c r="Z67" s="37"/>
      <c r="AA67" s="11"/>
    </row>
    <row r="68" spans="1:27" s="2" customFormat="1" ht="75" x14ac:dyDescent="0.25">
      <c r="A68" s="42" t="s">
        <v>38</v>
      </c>
      <c r="B68" s="59"/>
      <c r="C68" s="42" t="s">
        <v>61</v>
      </c>
      <c r="D68" s="44" t="s">
        <v>160</v>
      </c>
      <c r="E68" s="44"/>
      <c r="F68" s="86"/>
      <c r="G68" s="43" t="s">
        <v>253</v>
      </c>
      <c r="H68" s="5" t="s">
        <v>36</v>
      </c>
      <c r="I68" s="5" t="s">
        <v>35</v>
      </c>
      <c r="J68" s="5" t="s">
        <v>33</v>
      </c>
      <c r="K68" s="5" t="s">
        <v>35</v>
      </c>
      <c r="L68" s="5" t="s">
        <v>35</v>
      </c>
      <c r="M68" s="5">
        <v>0</v>
      </c>
      <c r="N68" s="43" t="s">
        <v>74</v>
      </c>
      <c r="O68" s="16"/>
      <c r="P68" s="8"/>
      <c r="Q68" s="9"/>
      <c r="R68" s="16">
        <f t="shared" si="6"/>
        <v>0</v>
      </c>
      <c r="S68" s="8">
        <f t="shared" si="7"/>
        <v>0</v>
      </c>
      <c r="T68" s="19">
        <f t="shared" si="8"/>
        <v>0</v>
      </c>
      <c r="U68" s="19">
        <f t="shared" si="9"/>
        <v>0</v>
      </c>
      <c r="V68" s="19">
        <f t="shared" si="10"/>
        <v>0</v>
      </c>
      <c r="W68" s="16">
        <f t="shared" si="12"/>
        <v>0</v>
      </c>
      <c r="X68" s="16">
        <f t="shared" si="12"/>
        <v>0</v>
      </c>
      <c r="Y68" s="16">
        <f t="shared" si="12"/>
        <v>0</v>
      </c>
      <c r="Z68" s="37"/>
      <c r="AA68" s="11"/>
    </row>
    <row r="69" spans="1:27" s="2" customFormat="1" ht="30" hidden="1" x14ac:dyDescent="0.25">
      <c r="A69" s="42" t="s">
        <v>39</v>
      </c>
      <c r="B69" s="59">
        <v>3362</v>
      </c>
      <c r="C69" s="42" t="s">
        <v>61</v>
      </c>
      <c r="D69" s="54" t="s">
        <v>302</v>
      </c>
      <c r="E69" s="54" t="s">
        <v>313</v>
      </c>
      <c r="F69" s="87"/>
      <c r="G69" s="43"/>
      <c r="H69" s="5" t="s">
        <v>36</v>
      </c>
      <c r="I69" s="5" t="s">
        <v>34</v>
      </c>
      <c r="J69" s="5" t="s">
        <v>34</v>
      </c>
      <c r="K69" s="5" t="s">
        <v>35</v>
      </c>
      <c r="L69" s="5" t="s">
        <v>35</v>
      </c>
      <c r="M69" s="52">
        <v>12</v>
      </c>
      <c r="N69" s="43" t="s">
        <v>74</v>
      </c>
      <c r="O69" s="71">
        <v>3000000</v>
      </c>
      <c r="P69" s="72">
        <v>60</v>
      </c>
      <c r="Q69" s="9">
        <v>0.1</v>
      </c>
      <c r="R69" s="16">
        <f t="shared" si="6"/>
        <v>300000</v>
      </c>
      <c r="S69" s="8">
        <f t="shared" si="7"/>
        <v>6</v>
      </c>
      <c r="T69" s="19">
        <f t="shared" si="8"/>
        <v>-2.4999999999999994E-2</v>
      </c>
      <c r="U69" s="19">
        <f t="shared" si="9"/>
        <v>0.22500000000000001</v>
      </c>
      <c r="V69" s="19">
        <f t="shared" si="10"/>
        <v>7.216878364870323E-2</v>
      </c>
      <c r="W69" s="16">
        <f t="shared" si="12"/>
        <v>527.70000000000005</v>
      </c>
      <c r="X69" s="16">
        <f t="shared" si="12"/>
        <v>546</v>
      </c>
      <c r="Y69" s="16">
        <f t="shared" si="12"/>
        <v>573</v>
      </c>
      <c r="Z69" s="37"/>
      <c r="AA69" s="11"/>
    </row>
    <row r="70" spans="1:27" s="2" customFormat="1" hidden="1" x14ac:dyDescent="0.25">
      <c r="A70" s="42" t="s">
        <v>40</v>
      </c>
      <c r="B70" s="59">
        <v>3363</v>
      </c>
      <c r="C70" s="42" t="s">
        <v>61</v>
      </c>
      <c r="D70" s="43" t="s">
        <v>186</v>
      </c>
      <c r="E70" s="43"/>
      <c r="F70" s="85"/>
      <c r="G70" s="43"/>
      <c r="H70" s="5" t="s">
        <v>36</v>
      </c>
      <c r="I70" s="5" t="s">
        <v>33</v>
      </c>
      <c r="J70" s="5" t="s">
        <v>36</v>
      </c>
      <c r="K70" s="5" t="s">
        <v>35</v>
      </c>
      <c r="L70" s="5" t="s">
        <v>35</v>
      </c>
      <c r="M70" s="52">
        <v>6</v>
      </c>
      <c r="N70" s="43" t="s">
        <v>74</v>
      </c>
      <c r="O70" s="16">
        <v>0</v>
      </c>
      <c r="P70" s="8"/>
      <c r="Q70" s="9">
        <v>0.17</v>
      </c>
      <c r="R70" s="16">
        <f t="shared" si="6"/>
        <v>0</v>
      </c>
      <c r="S70" s="8">
        <f t="shared" si="7"/>
        <v>0</v>
      </c>
      <c r="T70" s="19">
        <f t="shared" si="8"/>
        <v>4.5000000000000012E-2</v>
      </c>
      <c r="U70" s="19">
        <f t="shared" si="9"/>
        <v>0.29500000000000004</v>
      </c>
      <c r="V70" s="19">
        <f t="shared" si="10"/>
        <v>7.216878364870323E-2</v>
      </c>
      <c r="W70" s="16">
        <f t="shared" si="12"/>
        <v>0</v>
      </c>
      <c r="X70" s="16">
        <f t="shared" si="12"/>
        <v>0</v>
      </c>
      <c r="Y70" s="16">
        <f t="shared" si="12"/>
        <v>0</v>
      </c>
      <c r="Z70" s="37"/>
      <c r="AA70" s="11"/>
    </row>
    <row r="71" spans="1:27" s="2" customFormat="1" ht="45" hidden="1" x14ac:dyDescent="0.25">
      <c r="A71" s="42" t="s">
        <v>182</v>
      </c>
      <c r="B71" s="59">
        <v>3364</v>
      </c>
      <c r="C71" s="42" t="s">
        <v>61</v>
      </c>
      <c r="D71" s="43" t="s">
        <v>183</v>
      </c>
      <c r="E71" s="43"/>
      <c r="F71" s="85"/>
      <c r="G71" s="43"/>
      <c r="H71" s="5" t="s">
        <v>36</v>
      </c>
      <c r="I71" s="5" t="s">
        <v>35</v>
      </c>
      <c r="J71" s="5" t="s">
        <v>33</v>
      </c>
      <c r="K71" s="5" t="s">
        <v>35</v>
      </c>
      <c r="L71" s="5" t="s">
        <v>35</v>
      </c>
      <c r="M71" s="52">
        <v>6</v>
      </c>
      <c r="N71" s="43" t="s">
        <v>74</v>
      </c>
      <c r="O71" s="16">
        <v>500000</v>
      </c>
      <c r="P71" s="8"/>
      <c r="Q71" s="9">
        <v>0.1</v>
      </c>
      <c r="R71" s="16">
        <f t="shared" ref="R71:R87" si="13">O71*Q71</f>
        <v>50000</v>
      </c>
      <c r="S71" s="8">
        <f t="shared" ref="S71:S87" si="14">P71*Q71</f>
        <v>0</v>
      </c>
      <c r="T71" s="19">
        <f t="shared" ref="T71:T87" si="15">IF($Q71=0,0, IF($Q71 = 100%, 100%,$Q71-12.5%))* IF($T$1="Y", 1, IF($O71&lt;0,0,1))</f>
        <v>-2.4999999999999994E-2</v>
      </c>
      <c r="U71" s="19">
        <f t="shared" ref="U71:U87" si="16">IF($Q71=0,0, IF($Q71 = 100%, 100%,$Q71+12.5%))* IF($T$1="Y", 1, IF($O71&lt;0,0,1))</f>
        <v>0.22500000000000001</v>
      </c>
      <c r="V71" s="19">
        <f t="shared" ref="V71:V87" si="17">(U71-T71)/SQRT(12)</f>
        <v>7.216878364870323E-2</v>
      </c>
      <c r="W71" s="16">
        <f t="shared" si="12"/>
        <v>87.95</v>
      </c>
      <c r="X71" s="16">
        <f t="shared" si="12"/>
        <v>91</v>
      </c>
      <c r="Y71" s="16">
        <f t="shared" si="12"/>
        <v>95.5</v>
      </c>
      <c r="Z71" s="37"/>
      <c r="AA71" s="11"/>
    </row>
    <row r="72" spans="1:27" s="2" customFormat="1" ht="60" hidden="1" x14ac:dyDescent="0.25">
      <c r="A72" s="42" t="s">
        <v>37</v>
      </c>
      <c r="B72" s="59">
        <v>3365</v>
      </c>
      <c r="C72" s="42" t="s">
        <v>121</v>
      </c>
      <c r="D72" s="43" t="s">
        <v>164</v>
      </c>
      <c r="E72" s="43"/>
      <c r="F72" s="85"/>
      <c r="G72" s="43"/>
      <c r="H72" s="5" t="s">
        <v>36</v>
      </c>
      <c r="I72" s="5" t="s">
        <v>35</v>
      </c>
      <c r="J72" s="5" t="s">
        <v>33</v>
      </c>
      <c r="K72" s="5" t="s">
        <v>35</v>
      </c>
      <c r="L72" s="5" t="s">
        <v>35</v>
      </c>
      <c r="M72" s="52">
        <v>6</v>
      </c>
      <c r="N72" s="43" t="s">
        <v>74</v>
      </c>
      <c r="O72" s="16">
        <v>-500000</v>
      </c>
      <c r="P72" s="8"/>
      <c r="Q72" s="9">
        <v>0.1</v>
      </c>
      <c r="R72" s="16">
        <f t="shared" si="13"/>
        <v>-50000</v>
      </c>
      <c r="S72" s="8">
        <f t="shared" si="14"/>
        <v>0</v>
      </c>
      <c r="T72" s="19">
        <f t="shared" si="15"/>
        <v>-2.4999999999999994E-2</v>
      </c>
      <c r="U72" s="19">
        <f t="shared" si="16"/>
        <v>0.22500000000000001</v>
      </c>
      <c r="V72" s="19">
        <f t="shared" si="17"/>
        <v>7.216878364870323E-2</v>
      </c>
      <c r="W72" s="16">
        <f t="shared" si="12"/>
        <v>-87.95</v>
      </c>
      <c r="X72" s="16">
        <f t="shared" si="12"/>
        <v>-91</v>
      </c>
      <c r="Y72" s="16">
        <f t="shared" si="12"/>
        <v>-95.5</v>
      </c>
      <c r="Z72" s="37"/>
      <c r="AA72" s="11"/>
    </row>
    <row r="73" spans="1:27" s="2" customFormat="1" ht="30" hidden="1" x14ac:dyDescent="0.25">
      <c r="A73" s="42" t="s">
        <v>72</v>
      </c>
      <c r="B73" s="59">
        <v>3366</v>
      </c>
      <c r="C73" s="42" t="s">
        <v>61</v>
      </c>
      <c r="D73" s="43" t="s">
        <v>73</v>
      </c>
      <c r="E73" s="43"/>
      <c r="F73" s="85"/>
      <c r="G73" s="43"/>
      <c r="H73" s="5" t="s">
        <v>33</v>
      </c>
      <c r="I73" s="5" t="s">
        <v>35</v>
      </c>
      <c r="J73" s="5" t="s">
        <v>34</v>
      </c>
      <c r="K73" s="5" t="s">
        <v>35</v>
      </c>
      <c r="L73" s="5" t="s">
        <v>35</v>
      </c>
      <c r="M73" s="51">
        <v>24</v>
      </c>
      <c r="N73" s="43" t="s">
        <v>74</v>
      </c>
      <c r="O73" s="71">
        <v>2000000</v>
      </c>
      <c r="P73" s="72">
        <v>0</v>
      </c>
      <c r="Q73" s="9">
        <v>0.5</v>
      </c>
      <c r="R73" s="16">
        <f t="shared" si="13"/>
        <v>1000000</v>
      </c>
      <c r="S73" s="8">
        <f t="shared" si="14"/>
        <v>0</v>
      </c>
      <c r="T73" s="19">
        <f t="shared" si="15"/>
        <v>0.375</v>
      </c>
      <c r="U73" s="19">
        <f t="shared" si="16"/>
        <v>0.625</v>
      </c>
      <c r="V73" s="19">
        <f t="shared" si="17"/>
        <v>7.216878364870323E-2</v>
      </c>
      <c r="W73" s="16">
        <f t="shared" si="12"/>
        <v>1759</v>
      </c>
      <c r="X73" s="16">
        <f t="shared" si="12"/>
        <v>1820</v>
      </c>
      <c r="Y73" s="16">
        <f t="shared" si="12"/>
        <v>1910</v>
      </c>
      <c r="Z73" s="37"/>
      <c r="AA73" s="11"/>
    </row>
    <row r="74" spans="1:27" s="2" customFormat="1" ht="30" hidden="1" x14ac:dyDescent="0.25">
      <c r="A74" s="42" t="s">
        <v>310</v>
      </c>
      <c r="B74" s="59">
        <v>3757</v>
      </c>
      <c r="C74" s="42" t="s">
        <v>61</v>
      </c>
      <c r="D74" s="43" t="s">
        <v>311</v>
      </c>
      <c r="E74" s="43"/>
      <c r="F74" s="85"/>
      <c r="G74" s="43"/>
      <c r="H74" s="5" t="s">
        <v>33</v>
      </c>
      <c r="I74" s="5" t="s">
        <v>35</v>
      </c>
      <c r="J74" s="5" t="s">
        <v>33</v>
      </c>
      <c r="K74" s="5" t="s">
        <v>35</v>
      </c>
      <c r="L74" s="5" t="s">
        <v>35</v>
      </c>
      <c r="M74" s="52">
        <v>12</v>
      </c>
      <c r="N74" s="43" t="s">
        <v>74</v>
      </c>
      <c r="O74" s="71">
        <v>200000</v>
      </c>
      <c r="P74" s="72">
        <v>0</v>
      </c>
      <c r="Q74" s="9">
        <v>0.5</v>
      </c>
      <c r="R74" s="16">
        <f t="shared" si="13"/>
        <v>100000</v>
      </c>
      <c r="S74" s="8">
        <f t="shared" si="14"/>
        <v>0</v>
      </c>
      <c r="T74" s="19">
        <f t="shared" si="15"/>
        <v>0.375</v>
      </c>
      <c r="U74" s="19">
        <f t="shared" si="16"/>
        <v>0.625</v>
      </c>
      <c r="V74" s="19">
        <f t="shared" si="17"/>
        <v>7.216878364870323E-2</v>
      </c>
      <c r="W74" s="16">
        <f t="shared" si="12"/>
        <v>175.9</v>
      </c>
      <c r="X74" s="16">
        <f t="shared" si="12"/>
        <v>182</v>
      </c>
      <c r="Y74" s="16">
        <f t="shared" si="12"/>
        <v>191</v>
      </c>
      <c r="Z74" s="37"/>
      <c r="AA74" s="11"/>
    </row>
    <row r="75" spans="1:27" s="2" customFormat="1" ht="45" hidden="1" x14ac:dyDescent="0.25">
      <c r="A75" s="42" t="s">
        <v>86</v>
      </c>
      <c r="B75" s="59">
        <v>3367</v>
      </c>
      <c r="C75" s="42" t="s">
        <v>61</v>
      </c>
      <c r="D75" s="43" t="s">
        <v>87</v>
      </c>
      <c r="E75" s="43" t="s">
        <v>346</v>
      </c>
      <c r="F75" s="85">
        <v>20000</v>
      </c>
      <c r="G75" s="43"/>
      <c r="H75" s="5" t="s">
        <v>36</v>
      </c>
      <c r="I75" s="5" t="s">
        <v>34</v>
      </c>
      <c r="J75" s="5" t="s">
        <v>34</v>
      </c>
      <c r="K75" s="5" t="s">
        <v>35</v>
      </c>
      <c r="L75" s="5" t="s">
        <v>35</v>
      </c>
      <c r="M75" s="51">
        <v>24</v>
      </c>
      <c r="N75" s="43" t="s">
        <v>71</v>
      </c>
      <c r="O75" s="71">
        <v>4000000</v>
      </c>
      <c r="P75" s="72">
        <v>360</v>
      </c>
      <c r="Q75" s="74">
        <v>0.2</v>
      </c>
      <c r="R75" s="16">
        <f t="shared" si="13"/>
        <v>800000</v>
      </c>
      <c r="S75" s="8">
        <f t="shared" si="14"/>
        <v>72</v>
      </c>
      <c r="T75" s="19">
        <f t="shared" si="15"/>
        <v>7.5000000000000011E-2</v>
      </c>
      <c r="U75" s="19">
        <f t="shared" si="16"/>
        <v>0.32500000000000001</v>
      </c>
      <c r="V75" s="19">
        <f t="shared" si="17"/>
        <v>7.216878364870323E-2</v>
      </c>
      <c r="W75" s="16">
        <f t="shared" si="12"/>
        <v>1407.2</v>
      </c>
      <c r="X75" s="16">
        <f t="shared" si="12"/>
        <v>1456</v>
      </c>
      <c r="Y75" s="16">
        <f t="shared" si="12"/>
        <v>1528</v>
      </c>
      <c r="Z75" s="37"/>
      <c r="AA75" s="11"/>
    </row>
    <row r="76" spans="1:27" s="2" customFormat="1" ht="30" hidden="1" x14ac:dyDescent="0.25">
      <c r="A76" s="42" t="s">
        <v>207</v>
      </c>
      <c r="B76" s="59"/>
      <c r="C76" s="42" t="s">
        <v>61</v>
      </c>
      <c r="D76" s="43" t="s">
        <v>208</v>
      </c>
      <c r="E76" s="43"/>
      <c r="F76" s="85"/>
      <c r="G76" s="43"/>
      <c r="H76" s="5" t="s">
        <v>155</v>
      </c>
      <c r="I76" s="5" t="s">
        <v>34</v>
      </c>
      <c r="J76" s="5" t="s">
        <v>34</v>
      </c>
      <c r="K76" s="5" t="s">
        <v>35</v>
      </c>
      <c r="L76" s="5" t="s">
        <v>35</v>
      </c>
      <c r="M76" s="53">
        <v>4</v>
      </c>
      <c r="N76" s="43" t="s">
        <v>71</v>
      </c>
      <c r="O76" s="16"/>
      <c r="P76" s="8"/>
      <c r="Q76" s="9"/>
      <c r="R76" s="16">
        <f t="shared" si="13"/>
        <v>0</v>
      </c>
      <c r="S76" s="8">
        <f t="shared" si="14"/>
        <v>0</v>
      </c>
      <c r="T76" s="19">
        <f t="shared" si="15"/>
        <v>0</v>
      </c>
      <c r="U76" s="19">
        <f t="shared" si="16"/>
        <v>0</v>
      </c>
      <c r="V76" s="19">
        <f t="shared" si="17"/>
        <v>0</v>
      </c>
      <c r="W76" s="16">
        <f t="shared" si="12"/>
        <v>0</v>
      </c>
      <c r="X76" s="16">
        <f t="shared" si="12"/>
        <v>0</v>
      </c>
      <c r="Y76" s="16">
        <f t="shared" si="12"/>
        <v>0</v>
      </c>
      <c r="Z76" s="37"/>
      <c r="AA76" s="11"/>
    </row>
    <row r="77" spans="1:27" s="2" customFormat="1" ht="105" x14ac:dyDescent="0.25">
      <c r="A77" s="42" t="s">
        <v>297</v>
      </c>
      <c r="B77" s="59"/>
      <c r="C77" s="42" t="s">
        <v>61</v>
      </c>
      <c r="D77" s="44" t="s">
        <v>298</v>
      </c>
      <c r="E77" s="44"/>
      <c r="F77" s="86"/>
      <c r="G77" s="43" t="s">
        <v>253</v>
      </c>
      <c r="H77" s="5" t="s">
        <v>36</v>
      </c>
      <c r="I77" s="5" t="s">
        <v>34</v>
      </c>
      <c r="J77" s="5" t="s">
        <v>34</v>
      </c>
      <c r="K77" s="5" t="s">
        <v>35</v>
      </c>
      <c r="L77" s="5" t="s">
        <v>35</v>
      </c>
      <c r="M77" s="5">
        <v>0</v>
      </c>
      <c r="N77" s="43" t="s">
        <v>71</v>
      </c>
      <c r="O77" s="16"/>
      <c r="P77" s="8"/>
      <c r="Q77" s="9"/>
      <c r="R77" s="16">
        <f t="shared" si="13"/>
        <v>0</v>
      </c>
      <c r="S77" s="8">
        <f t="shared" si="14"/>
        <v>0</v>
      </c>
      <c r="T77" s="19">
        <f t="shared" si="15"/>
        <v>0</v>
      </c>
      <c r="U77" s="19">
        <f t="shared" si="16"/>
        <v>0</v>
      </c>
      <c r="V77" s="19">
        <f t="shared" si="17"/>
        <v>0</v>
      </c>
      <c r="W77" s="16">
        <f t="shared" si="12"/>
        <v>0</v>
      </c>
      <c r="X77" s="16">
        <f t="shared" si="12"/>
        <v>0</v>
      </c>
      <c r="Y77" s="16">
        <f t="shared" si="12"/>
        <v>0</v>
      </c>
      <c r="Z77" s="37"/>
      <c r="AA77" s="11"/>
    </row>
    <row r="78" spans="1:27" s="2" customFormat="1" ht="30" hidden="1" x14ac:dyDescent="0.25">
      <c r="A78" s="42" t="s">
        <v>69</v>
      </c>
      <c r="B78" s="59">
        <v>3368</v>
      </c>
      <c r="C78" s="42" t="s">
        <v>61</v>
      </c>
      <c r="D78" s="43" t="s">
        <v>70</v>
      </c>
      <c r="E78" s="43" t="s">
        <v>340</v>
      </c>
      <c r="F78" s="85"/>
      <c r="G78" s="43"/>
      <c r="H78" s="5" t="s">
        <v>36</v>
      </c>
      <c r="I78" s="5" t="s">
        <v>34</v>
      </c>
      <c r="J78" s="5" t="s">
        <v>34</v>
      </c>
      <c r="K78" s="5" t="s">
        <v>35</v>
      </c>
      <c r="L78" s="5" t="s">
        <v>35</v>
      </c>
      <c r="M78" s="51">
        <v>24</v>
      </c>
      <c r="N78" s="43" t="s">
        <v>71</v>
      </c>
      <c r="O78" s="71">
        <v>3000000</v>
      </c>
      <c r="P78" s="72">
        <v>360</v>
      </c>
      <c r="Q78" s="9">
        <v>0.15</v>
      </c>
      <c r="R78" s="16">
        <f t="shared" si="13"/>
        <v>450000</v>
      </c>
      <c r="S78" s="8">
        <f t="shared" si="14"/>
        <v>54</v>
      </c>
      <c r="T78" s="19">
        <f t="shared" si="15"/>
        <v>2.4999999999999994E-2</v>
      </c>
      <c r="U78" s="19">
        <f t="shared" si="16"/>
        <v>0.27500000000000002</v>
      </c>
      <c r="V78" s="19">
        <f t="shared" si="17"/>
        <v>7.216878364870323E-2</v>
      </c>
      <c r="W78" s="16">
        <f t="shared" si="12"/>
        <v>791.55</v>
      </c>
      <c r="X78" s="16">
        <f t="shared" si="12"/>
        <v>819</v>
      </c>
      <c r="Y78" s="16">
        <f t="shared" si="12"/>
        <v>859.5</v>
      </c>
      <c r="Z78" s="37"/>
      <c r="AA78" s="11"/>
    </row>
    <row r="79" spans="1:27" s="2" customFormat="1" ht="30" x14ac:dyDescent="0.25">
      <c r="A79" s="42" t="s">
        <v>295</v>
      </c>
      <c r="B79" s="59"/>
      <c r="C79" s="42" t="s">
        <v>61</v>
      </c>
      <c r="D79" s="44" t="s">
        <v>296</v>
      </c>
      <c r="E79" s="44"/>
      <c r="F79" s="86"/>
      <c r="G79" s="43" t="s">
        <v>253</v>
      </c>
      <c r="H79" s="5" t="s">
        <v>33</v>
      </c>
      <c r="I79" s="5" t="s">
        <v>35</v>
      </c>
      <c r="J79" s="5" t="s">
        <v>36</v>
      </c>
      <c r="K79" s="5" t="s">
        <v>35</v>
      </c>
      <c r="L79" s="5" t="s">
        <v>35</v>
      </c>
      <c r="M79" s="5">
        <v>0</v>
      </c>
      <c r="N79" s="43" t="s">
        <v>71</v>
      </c>
      <c r="O79" s="16"/>
      <c r="P79" s="8"/>
      <c r="Q79" s="9"/>
      <c r="R79" s="16">
        <f t="shared" si="13"/>
        <v>0</v>
      </c>
      <c r="S79" s="8">
        <f t="shared" si="14"/>
        <v>0</v>
      </c>
      <c r="T79" s="19">
        <f t="shared" si="15"/>
        <v>0</v>
      </c>
      <c r="U79" s="19">
        <f t="shared" si="16"/>
        <v>0</v>
      </c>
      <c r="V79" s="19">
        <f t="shared" si="17"/>
        <v>0</v>
      </c>
      <c r="W79" s="16">
        <f t="shared" ref="W79:Y87" si="18">W$121*$R79/$R$121  *  IF($T$1="Y", 1, IF($O79&lt;0,0,1))</f>
        <v>0</v>
      </c>
      <c r="X79" s="16">
        <f t="shared" si="18"/>
        <v>0</v>
      </c>
      <c r="Y79" s="16">
        <f t="shared" si="18"/>
        <v>0</v>
      </c>
      <c r="Z79" s="37"/>
      <c r="AA79" s="11"/>
    </row>
    <row r="80" spans="1:27" s="2" customFormat="1" ht="45" hidden="1" x14ac:dyDescent="0.25">
      <c r="A80" s="42" t="s">
        <v>88</v>
      </c>
      <c r="B80" s="59">
        <v>3369</v>
      </c>
      <c r="C80" s="42" t="s">
        <v>61</v>
      </c>
      <c r="D80" s="43" t="s">
        <v>89</v>
      </c>
      <c r="E80" s="43" t="s">
        <v>347</v>
      </c>
      <c r="F80" s="85">
        <v>20000</v>
      </c>
      <c r="G80" s="43"/>
      <c r="H80" s="75" t="s">
        <v>36</v>
      </c>
      <c r="I80" s="5" t="s">
        <v>35</v>
      </c>
      <c r="J80" s="5" t="s">
        <v>33</v>
      </c>
      <c r="K80" s="5" t="s">
        <v>35</v>
      </c>
      <c r="L80" s="5" t="s">
        <v>35</v>
      </c>
      <c r="M80" s="51">
        <v>24</v>
      </c>
      <c r="N80" s="43" t="s">
        <v>71</v>
      </c>
      <c r="O80" s="71">
        <v>200000</v>
      </c>
      <c r="P80" s="72">
        <v>0</v>
      </c>
      <c r="Q80" s="74">
        <v>0.2</v>
      </c>
      <c r="R80" s="16">
        <f t="shared" si="13"/>
        <v>40000</v>
      </c>
      <c r="S80" s="8">
        <f t="shared" si="14"/>
        <v>0</v>
      </c>
      <c r="T80" s="19">
        <f t="shared" si="15"/>
        <v>7.5000000000000011E-2</v>
      </c>
      <c r="U80" s="19">
        <f t="shared" si="16"/>
        <v>0.32500000000000001</v>
      </c>
      <c r="V80" s="19">
        <f t="shared" si="17"/>
        <v>7.216878364870323E-2</v>
      </c>
      <c r="W80" s="16">
        <f t="shared" si="18"/>
        <v>70.36</v>
      </c>
      <c r="X80" s="16">
        <f t="shared" si="18"/>
        <v>72.8</v>
      </c>
      <c r="Y80" s="16">
        <f t="shared" si="18"/>
        <v>76.400000000000006</v>
      </c>
      <c r="Z80" s="37"/>
      <c r="AA80" s="11"/>
    </row>
    <row r="81" spans="1:27" s="2" customFormat="1" ht="45" hidden="1" x14ac:dyDescent="0.25">
      <c r="A81" s="42" t="s">
        <v>135</v>
      </c>
      <c r="B81" s="59">
        <v>3370</v>
      </c>
      <c r="C81" s="42" t="s">
        <v>61</v>
      </c>
      <c r="D81" s="89" t="s">
        <v>136</v>
      </c>
      <c r="E81" s="89"/>
      <c r="F81" s="88"/>
      <c r="G81" s="43" t="s">
        <v>63</v>
      </c>
      <c r="H81" s="5" t="s">
        <v>33</v>
      </c>
      <c r="I81" s="5" t="s">
        <v>35</v>
      </c>
      <c r="J81" s="5" t="s">
        <v>35</v>
      </c>
      <c r="K81" s="5" t="s">
        <v>33</v>
      </c>
      <c r="L81" s="5" t="s">
        <v>35</v>
      </c>
      <c r="M81" s="52">
        <v>10</v>
      </c>
      <c r="N81" s="43" t="s">
        <v>71</v>
      </c>
      <c r="O81" s="16">
        <v>0</v>
      </c>
      <c r="P81" s="8"/>
      <c r="Q81" s="9">
        <v>0.5</v>
      </c>
      <c r="R81" s="16">
        <f t="shared" si="13"/>
        <v>0</v>
      </c>
      <c r="S81" s="8">
        <f t="shared" si="14"/>
        <v>0</v>
      </c>
      <c r="T81" s="19">
        <f t="shared" si="15"/>
        <v>0.375</v>
      </c>
      <c r="U81" s="19">
        <f t="shared" si="16"/>
        <v>0.625</v>
      </c>
      <c r="V81" s="19">
        <f t="shared" si="17"/>
        <v>7.216878364870323E-2</v>
      </c>
      <c r="W81" s="16">
        <f t="shared" si="18"/>
        <v>0</v>
      </c>
      <c r="X81" s="16">
        <f t="shared" si="18"/>
        <v>0</v>
      </c>
      <c r="Y81" s="16">
        <f t="shared" si="18"/>
        <v>0</v>
      </c>
      <c r="Z81" s="37"/>
      <c r="AA81" s="11"/>
    </row>
    <row r="82" spans="1:27" s="2" customFormat="1" ht="45" hidden="1" x14ac:dyDescent="0.25">
      <c r="A82" s="42" t="s">
        <v>209</v>
      </c>
      <c r="B82" s="59"/>
      <c r="C82" s="42" t="s">
        <v>61</v>
      </c>
      <c r="D82" s="89" t="s">
        <v>98</v>
      </c>
      <c r="E82" s="89"/>
      <c r="F82" s="88"/>
      <c r="G82" s="43" t="s">
        <v>63</v>
      </c>
      <c r="H82" s="5" t="s">
        <v>155</v>
      </c>
      <c r="I82" s="5" t="s">
        <v>35</v>
      </c>
      <c r="J82" s="5" t="s">
        <v>35</v>
      </c>
      <c r="K82" s="5" t="s">
        <v>34</v>
      </c>
      <c r="L82" s="5" t="s">
        <v>35</v>
      </c>
      <c r="M82" s="53">
        <v>4</v>
      </c>
      <c r="N82" s="43" t="s">
        <v>71</v>
      </c>
      <c r="O82" s="16"/>
      <c r="P82" s="8"/>
      <c r="Q82" s="9"/>
      <c r="R82" s="16">
        <f t="shared" si="13"/>
        <v>0</v>
      </c>
      <c r="S82" s="8">
        <f t="shared" si="14"/>
        <v>0</v>
      </c>
      <c r="T82" s="19">
        <f t="shared" si="15"/>
        <v>0</v>
      </c>
      <c r="U82" s="19">
        <f t="shared" si="16"/>
        <v>0</v>
      </c>
      <c r="V82" s="19">
        <f t="shared" si="17"/>
        <v>0</v>
      </c>
      <c r="W82" s="16">
        <f t="shared" si="18"/>
        <v>0</v>
      </c>
      <c r="X82" s="16">
        <f t="shared" si="18"/>
        <v>0</v>
      </c>
      <c r="Y82" s="16">
        <f t="shared" si="18"/>
        <v>0</v>
      </c>
      <c r="Z82" s="37"/>
      <c r="AA82" s="11"/>
    </row>
    <row r="83" spans="1:27" s="2" customFormat="1" ht="75" hidden="1" x14ac:dyDescent="0.25">
      <c r="A83" s="42" t="s">
        <v>133</v>
      </c>
      <c r="B83" s="59">
        <v>3371</v>
      </c>
      <c r="C83" s="42" t="s">
        <v>61</v>
      </c>
      <c r="D83" s="89" t="s">
        <v>134</v>
      </c>
      <c r="E83" s="89"/>
      <c r="F83" s="88">
        <v>200000</v>
      </c>
      <c r="G83" s="54" t="s">
        <v>299</v>
      </c>
      <c r="H83" s="5" t="s">
        <v>33</v>
      </c>
      <c r="I83" s="5" t="s">
        <v>35</v>
      </c>
      <c r="J83" s="5" t="s">
        <v>35</v>
      </c>
      <c r="K83" s="5" t="s">
        <v>33</v>
      </c>
      <c r="L83" s="5" t="s">
        <v>35</v>
      </c>
      <c r="M83" s="52">
        <v>10</v>
      </c>
      <c r="N83" s="43" t="s">
        <v>71</v>
      </c>
      <c r="O83" s="16">
        <v>0</v>
      </c>
      <c r="P83" s="8"/>
      <c r="Q83" s="9">
        <v>0.5</v>
      </c>
      <c r="R83" s="16">
        <f t="shared" si="13"/>
        <v>0</v>
      </c>
      <c r="S83" s="8">
        <f t="shared" si="14"/>
        <v>0</v>
      </c>
      <c r="T83" s="19">
        <f t="shared" si="15"/>
        <v>0.375</v>
      </c>
      <c r="U83" s="19">
        <f t="shared" si="16"/>
        <v>0.625</v>
      </c>
      <c r="V83" s="19">
        <f t="shared" si="17"/>
        <v>7.216878364870323E-2</v>
      </c>
      <c r="W83" s="16">
        <f t="shared" si="18"/>
        <v>0</v>
      </c>
      <c r="X83" s="16">
        <f t="shared" si="18"/>
        <v>0</v>
      </c>
      <c r="Y83" s="16">
        <f t="shared" si="18"/>
        <v>0</v>
      </c>
      <c r="Z83" s="37"/>
      <c r="AA83" s="11"/>
    </row>
    <row r="84" spans="1:27" s="2" customFormat="1" ht="30" hidden="1" x14ac:dyDescent="0.25">
      <c r="A84" s="42" t="s">
        <v>108</v>
      </c>
      <c r="B84" s="59">
        <v>3372</v>
      </c>
      <c r="C84" s="42" t="s">
        <v>61</v>
      </c>
      <c r="D84" s="43" t="s">
        <v>109</v>
      </c>
      <c r="E84" s="43" t="s">
        <v>346</v>
      </c>
      <c r="F84" s="85">
        <v>50000</v>
      </c>
      <c r="G84" s="43"/>
      <c r="H84" s="5" t="s">
        <v>36</v>
      </c>
      <c r="I84" s="5" t="s">
        <v>34</v>
      </c>
      <c r="J84" s="5" t="s">
        <v>34</v>
      </c>
      <c r="K84" s="5" t="s">
        <v>35</v>
      </c>
      <c r="L84" s="5" t="s">
        <v>35</v>
      </c>
      <c r="M84" s="52">
        <v>12</v>
      </c>
      <c r="N84" s="43" t="s">
        <v>71</v>
      </c>
      <c r="O84" s="71">
        <v>3000000</v>
      </c>
      <c r="P84" s="72">
        <v>360</v>
      </c>
      <c r="Q84" s="9">
        <v>0.15</v>
      </c>
      <c r="R84" s="16">
        <f t="shared" si="13"/>
        <v>450000</v>
      </c>
      <c r="S84" s="8">
        <f t="shared" si="14"/>
        <v>54</v>
      </c>
      <c r="T84" s="19">
        <f t="shared" si="15"/>
        <v>2.4999999999999994E-2</v>
      </c>
      <c r="U84" s="19">
        <f t="shared" si="16"/>
        <v>0.27500000000000002</v>
      </c>
      <c r="V84" s="19">
        <f t="shared" si="17"/>
        <v>7.216878364870323E-2</v>
      </c>
      <c r="W84" s="16">
        <f t="shared" si="18"/>
        <v>791.55</v>
      </c>
      <c r="X84" s="16">
        <f t="shared" si="18"/>
        <v>819</v>
      </c>
      <c r="Y84" s="16">
        <f t="shared" si="18"/>
        <v>859.5</v>
      </c>
      <c r="Z84" s="37"/>
      <c r="AA84" s="11"/>
    </row>
    <row r="85" spans="1:27" s="2" customFormat="1" ht="45" hidden="1" x14ac:dyDescent="0.25">
      <c r="A85" s="42" t="s">
        <v>170</v>
      </c>
      <c r="B85" s="59">
        <v>3373</v>
      </c>
      <c r="C85" s="42" t="s">
        <v>61</v>
      </c>
      <c r="D85" s="43" t="s">
        <v>171</v>
      </c>
      <c r="E85" s="43" t="s">
        <v>348</v>
      </c>
      <c r="F85" s="85">
        <v>100000</v>
      </c>
      <c r="G85" s="43"/>
      <c r="H85" s="5" t="s">
        <v>36</v>
      </c>
      <c r="I85" s="5" t="s">
        <v>35</v>
      </c>
      <c r="J85" s="5" t="s">
        <v>36</v>
      </c>
      <c r="K85" s="5" t="s">
        <v>36</v>
      </c>
      <c r="L85" s="5" t="s">
        <v>155</v>
      </c>
      <c r="M85" s="52">
        <v>6</v>
      </c>
      <c r="N85" s="43" t="s">
        <v>172</v>
      </c>
      <c r="O85" s="16">
        <v>75000</v>
      </c>
      <c r="P85" s="8"/>
      <c r="Q85" s="9">
        <v>0.1</v>
      </c>
      <c r="R85" s="16">
        <f t="shared" si="13"/>
        <v>7500</v>
      </c>
      <c r="S85" s="8">
        <f t="shared" si="14"/>
        <v>0</v>
      </c>
      <c r="T85" s="19">
        <f t="shared" si="15"/>
        <v>-2.4999999999999994E-2</v>
      </c>
      <c r="U85" s="19">
        <f t="shared" si="16"/>
        <v>0.22500000000000001</v>
      </c>
      <c r="V85" s="19">
        <f t="shared" si="17"/>
        <v>7.216878364870323E-2</v>
      </c>
      <c r="W85" s="16">
        <f t="shared" si="18"/>
        <v>13.192500000000001</v>
      </c>
      <c r="X85" s="16">
        <f t="shared" si="18"/>
        <v>13.65</v>
      </c>
      <c r="Y85" s="16">
        <f t="shared" si="18"/>
        <v>14.324999999999999</v>
      </c>
      <c r="Z85" s="37"/>
      <c r="AA85" s="11"/>
    </row>
    <row r="86" spans="1:27" s="2" customFormat="1" ht="39" hidden="1" x14ac:dyDescent="0.25">
      <c r="A86" s="42" t="s">
        <v>332</v>
      </c>
      <c r="B86" s="59" t="s">
        <v>333</v>
      </c>
      <c r="C86" s="42" t="s">
        <v>61</v>
      </c>
      <c r="D86" s="84" t="s">
        <v>334</v>
      </c>
      <c r="E86" s="43" t="s">
        <v>335</v>
      </c>
      <c r="F86" s="85"/>
      <c r="G86" s="43"/>
      <c r="H86" s="5" t="s">
        <v>33</v>
      </c>
      <c r="I86" s="5" t="s">
        <v>35</v>
      </c>
      <c r="J86" s="5" t="s">
        <v>34</v>
      </c>
      <c r="K86" s="5" t="s">
        <v>35</v>
      </c>
      <c r="L86" s="5" t="s">
        <v>35</v>
      </c>
      <c r="M86" s="52"/>
      <c r="N86" s="83" t="s">
        <v>336</v>
      </c>
      <c r="O86" s="16">
        <v>300000</v>
      </c>
      <c r="P86" s="8"/>
      <c r="Q86" s="9">
        <v>0.5</v>
      </c>
      <c r="R86" s="16">
        <f t="shared" si="13"/>
        <v>150000</v>
      </c>
      <c r="S86" s="8">
        <f t="shared" si="14"/>
        <v>0</v>
      </c>
      <c r="T86" s="19">
        <f t="shared" si="15"/>
        <v>0.375</v>
      </c>
      <c r="U86" s="19">
        <f t="shared" si="16"/>
        <v>0.625</v>
      </c>
      <c r="V86" s="19">
        <f t="shared" si="17"/>
        <v>7.216878364870323E-2</v>
      </c>
      <c r="W86" s="16">
        <f t="shared" si="18"/>
        <v>263.85000000000002</v>
      </c>
      <c r="X86" s="16">
        <f t="shared" si="18"/>
        <v>273</v>
      </c>
      <c r="Y86" s="16">
        <f t="shared" si="18"/>
        <v>286.5</v>
      </c>
      <c r="Z86" s="37"/>
      <c r="AA86" s="11"/>
    </row>
    <row r="87" spans="1:27" s="2" customFormat="1" ht="45" hidden="1" x14ac:dyDescent="0.25">
      <c r="A87" s="42" t="s">
        <v>111</v>
      </c>
      <c r="B87" s="59">
        <v>3382</v>
      </c>
      <c r="C87" s="42" t="s">
        <v>61</v>
      </c>
      <c r="D87" s="90" t="s">
        <v>305</v>
      </c>
      <c r="E87" s="90"/>
      <c r="F87" s="91"/>
      <c r="G87" s="43" t="s">
        <v>63</v>
      </c>
      <c r="H87" s="5" t="s">
        <v>36</v>
      </c>
      <c r="I87" s="5" t="s">
        <v>35</v>
      </c>
      <c r="J87" s="5" t="s">
        <v>35</v>
      </c>
      <c r="K87" s="5" t="s">
        <v>34</v>
      </c>
      <c r="L87" s="5" t="s">
        <v>35</v>
      </c>
      <c r="M87" s="52">
        <v>12</v>
      </c>
      <c r="N87" s="43" t="s">
        <v>112</v>
      </c>
      <c r="O87" s="16">
        <v>0</v>
      </c>
      <c r="P87" s="8"/>
      <c r="Q87" s="9">
        <v>0.17</v>
      </c>
      <c r="R87" s="16">
        <f t="shared" si="13"/>
        <v>0</v>
      </c>
      <c r="S87" s="8">
        <f t="shared" si="14"/>
        <v>0</v>
      </c>
      <c r="T87" s="19">
        <f t="shared" si="15"/>
        <v>4.5000000000000012E-2</v>
      </c>
      <c r="U87" s="19">
        <f t="shared" si="16"/>
        <v>0.29500000000000004</v>
      </c>
      <c r="V87" s="19">
        <f t="shared" si="17"/>
        <v>7.216878364870323E-2</v>
      </c>
      <c r="W87" s="16">
        <f t="shared" si="18"/>
        <v>0</v>
      </c>
      <c r="X87" s="16">
        <f t="shared" si="18"/>
        <v>0</v>
      </c>
      <c r="Y87" s="16">
        <f t="shared" si="18"/>
        <v>0</v>
      </c>
      <c r="Z87" s="37"/>
      <c r="AA87" s="11"/>
    </row>
    <row r="89" spans="1:27" s="2" customFormat="1" ht="30" hidden="1" x14ac:dyDescent="0.25">
      <c r="A89" s="42" t="s">
        <v>99</v>
      </c>
      <c r="B89" s="59"/>
      <c r="C89" s="42" t="s">
        <v>61</v>
      </c>
      <c r="D89" s="43" t="s">
        <v>100</v>
      </c>
      <c r="E89" s="43"/>
      <c r="F89" s="85"/>
      <c r="G89" s="43"/>
      <c r="H89" s="5" t="s">
        <v>155</v>
      </c>
      <c r="I89" s="5" t="s">
        <v>34</v>
      </c>
      <c r="J89" s="5" t="s">
        <v>33</v>
      </c>
      <c r="K89" s="5" t="s">
        <v>34</v>
      </c>
      <c r="L89" s="5" t="s">
        <v>35</v>
      </c>
      <c r="M89" s="53">
        <v>4</v>
      </c>
      <c r="N89" s="43" t="s">
        <v>101</v>
      </c>
      <c r="O89" s="16"/>
      <c r="P89" s="8"/>
      <c r="Q89" s="9"/>
      <c r="R89" s="16">
        <f t="shared" ref="R89:R102" si="19">O89*Q89</f>
        <v>0</v>
      </c>
      <c r="S89" s="8">
        <f t="shared" ref="S89:S102" si="20">P89*Q89</f>
        <v>0</v>
      </c>
      <c r="T89" s="19">
        <f t="shared" ref="T89:T120" si="21">IF($Q89=0,0, IF($Q89 = 100%, 100%,$Q89-12.5%))* IF($T$1="Y", 1, IF($O89&lt;0,0,1))</f>
        <v>0</v>
      </c>
      <c r="U89" s="19">
        <f t="shared" ref="U89:U120" si="22">IF($Q89=0,0, IF($Q89 = 100%, 100%,$Q89+12.5%))* IF($T$1="Y", 1, IF($O89&lt;0,0,1))</f>
        <v>0</v>
      </c>
      <c r="V89" s="19">
        <f t="shared" ref="V89:V102" si="23">(U89-T89)/SQRT(12)</f>
        <v>0</v>
      </c>
      <c r="W89" s="16">
        <f t="shared" ref="W89:Y120" si="24">W$121*$R89/$R$121  *  IF($T$1="Y", 1, IF($O89&lt;0,0,1))</f>
        <v>0</v>
      </c>
      <c r="X89" s="16">
        <f t="shared" si="24"/>
        <v>0</v>
      </c>
      <c r="Y89" s="16">
        <f t="shared" si="24"/>
        <v>0</v>
      </c>
      <c r="Z89" s="37"/>
      <c r="AA89" s="11"/>
    </row>
    <row r="90" spans="1:27" s="2" customFormat="1" ht="30" hidden="1" x14ac:dyDescent="0.25">
      <c r="A90" s="42" t="s">
        <v>250</v>
      </c>
      <c r="B90" s="59"/>
      <c r="C90" s="42" t="s">
        <v>61</v>
      </c>
      <c r="D90" s="43" t="s">
        <v>138</v>
      </c>
      <c r="E90" s="43"/>
      <c r="F90" s="85"/>
      <c r="G90" s="43"/>
      <c r="H90" s="5" t="s">
        <v>155</v>
      </c>
      <c r="I90" s="5" t="s">
        <v>35</v>
      </c>
      <c r="J90" s="5" t="s">
        <v>36</v>
      </c>
      <c r="K90" s="5" t="s">
        <v>35</v>
      </c>
      <c r="L90" s="5" t="s">
        <v>35</v>
      </c>
      <c r="M90" s="53">
        <v>1</v>
      </c>
      <c r="N90" s="43" t="s">
        <v>8</v>
      </c>
      <c r="O90" s="16"/>
      <c r="P90" s="8"/>
      <c r="Q90" s="9"/>
      <c r="R90" s="16">
        <f t="shared" si="19"/>
        <v>0</v>
      </c>
      <c r="S90" s="8">
        <f t="shared" si="20"/>
        <v>0</v>
      </c>
      <c r="T90" s="19">
        <f t="shared" si="21"/>
        <v>0</v>
      </c>
      <c r="U90" s="19">
        <f t="shared" si="22"/>
        <v>0</v>
      </c>
      <c r="V90" s="19">
        <f t="shared" si="23"/>
        <v>0</v>
      </c>
      <c r="W90" s="16">
        <f t="shared" si="24"/>
        <v>0</v>
      </c>
      <c r="X90" s="16">
        <f t="shared" si="24"/>
        <v>0</v>
      </c>
      <c r="Y90" s="16">
        <f t="shared" si="24"/>
        <v>0</v>
      </c>
      <c r="Z90" s="37"/>
      <c r="AA90" s="11"/>
    </row>
    <row r="91" spans="1:27" s="2" customFormat="1" ht="30" hidden="1" x14ac:dyDescent="0.25">
      <c r="A91" s="42" t="s">
        <v>137</v>
      </c>
      <c r="B91" s="59">
        <v>3384</v>
      </c>
      <c r="C91" s="42" t="s">
        <v>121</v>
      </c>
      <c r="D91" s="100" t="s">
        <v>138</v>
      </c>
      <c r="E91" s="100"/>
      <c r="F91" s="101"/>
      <c r="G91" s="43" t="s">
        <v>308</v>
      </c>
      <c r="H91" s="5" t="s">
        <v>33</v>
      </c>
      <c r="I91" s="5" t="s">
        <v>35</v>
      </c>
      <c r="J91" s="5" t="s">
        <v>33</v>
      </c>
      <c r="K91" s="5" t="s">
        <v>35</v>
      </c>
      <c r="L91" s="5" t="s">
        <v>35</v>
      </c>
      <c r="M91" s="52">
        <v>10</v>
      </c>
      <c r="N91" s="43" t="s">
        <v>8</v>
      </c>
      <c r="O91" s="16">
        <v>-175000</v>
      </c>
      <c r="P91" s="8"/>
      <c r="Q91" s="9">
        <v>0.5</v>
      </c>
      <c r="R91" s="16">
        <f t="shared" si="19"/>
        <v>-87500</v>
      </c>
      <c r="S91" s="8">
        <f t="shared" si="20"/>
        <v>0</v>
      </c>
      <c r="T91" s="19">
        <f t="shared" si="21"/>
        <v>0.375</v>
      </c>
      <c r="U91" s="19">
        <f t="shared" si="22"/>
        <v>0.625</v>
      </c>
      <c r="V91" s="19">
        <f t="shared" si="23"/>
        <v>7.216878364870323E-2</v>
      </c>
      <c r="W91" s="16">
        <f t="shared" si="24"/>
        <v>-153.91249999999999</v>
      </c>
      <c r="X91" s="16">
        <f t="shared" si="24"/>
        <v>-159.25</v>
      </c>
      <c r="Y91" s="16">
        <f t="shared" si="24"/>
        <v>-167.125</v>
      </c>
      <c r="Z91" s="37"/>
      <c r="AA91" s="11"/>
    </row>
    <row r="92" spans="1:27" s="2" customFormat="1" ht="45" hidden="1" x14ac:dyDescent="0.25">
      <c r="A92" s="42" t="s">
        <v>195</v>
      </c>
      <c r="B92" s="59">
        <v>3385</v>
      </c>
      <c r="C92" s="42" t="s">
        <v>61</v>
      </c>
      <c r="D92" s="89" t="s">
        <v>196</v>
      </c>
      <c r="E92" s="89"/>
      <c r="F92" s="88"/>
      <c r="G92" s="43" t="s">
        <v>63</v>
      </c>
      <c r="H92" s="5" t="s">
        <v>155</v>
      </c>
      <c r="I92" s="5" t="s">
        <v>36</v>
      </c>
      <c r="J92" s="5" t="s">
        <v>35</v>
      </c>
      <c r="K92" s="5" t="s">
        <v>33</v>
      </c>
      <c r="L92" s="5" t="s">
        <v>35</v>
      </c>
      <c r="M92" s="52">
        <v>6</v>
      </c>
      <c r="N92" s="43" t="s">
        <v>8</v>
      </c>
      <c r="O92" s="16">
        <v>0</v>
      </c>
      <c r="P92" s="8"/>
      <c r="Q92" s="9">
        <v>0.17</v>
      </c>
      <c r="R92" s="16">
        <f t="shared" si="19"/>
        <v>0</v>
      </c>
      <c r="S92" s="8">
        <f t="shared" si="20"/>
        <v>0</v>
      </c>
      <c r="T92" s="19">
        <f t="shared" si="21"/>
        <v>4.5000000000000012E-2</v>
      </c>
      <c r="U92" s="19">
        <f t="shared" si="22"/>
        <v>0.29500000000000004</v>
      </c>
      <c r="V92" s="19">
        <f t="shared" si="23"/>
        <v>7.216878364870323E-2</v>
      </c>
      <c r="W92" s="16">
        <f t="shared" si="24"/>
        <v>0</v>
      </c>
      <c r="X92" s="16">
        <f t="shared" si="24"/>
        <v>0</v>
      </c>
      <c r="Y92" s="16">
        <f t="shared" si="24"/>
        <v>0</v>
      </c>
      <c r="Z92" s="37"/>
      <c r="AA92" s="11"/>
    </row>
    <row r="93" spans="1:27" s="2" customFormat="1" ht="30" hidden="1" x14ac:dyDescent="0.25">
      <c r="A93" s="42" t="s">
        <v>153</v>
      </c>
      <c r="B93" s="59">
        <v>3386</v>
      </c>
      <c r="C93" s="42" t="s">
        <v>61</v>
      </c>
      <c r="D93" s="43" t="s">
        <v>154</v>
      </c>
      <c r="E93" s="43"/>
      <c r="F93" s="85"/>
      <c r="G93" s="43"/>
      <c r="H93" s="5" t="s">
        <v>155</v>
      </c>
      <c r="I93" s="5" t="s">
        <v>64</v>
      </c>
      <c r="J93" s="5" t="s">
        <v>64</v>
      </c>
      <c r="K93" s="5" t="s">
        <v>64</v>
      </c>
      <c r="L93" s="5" t="s">
        <v>35</v>
      </c>
      <c r="M93" s="52">
        <v>8</v>
      </c>
      <c r="N93" s="43" t="s">
        <v>8</v>
      </c>
      <c r="O93" s="16">
        <v>4000000</v>
      </c>
      <c r="P93" s="8">
        <v>400</v>
      </c>
      <c r="Q93" s="9">
        <v>0.01</v>
      </c>
      <c r="R93" s="16">
        <f t="shared" si="19"/>
        <v>40000</v>
      </c>
      <c r="S93" s="8">
        <f t="shared" si="20"/>
        <v>4</v>
      </c>
      <c r="T93" s="19">
        <f t="shared" si="21"/>
        <v>-0.115</v>
      </c>
      <c r="U93" s="19">
        <f t="shared" si="22"/>
        <v>0.13500000000000001</v>
      </c>
      <c r="V93" s="19">
        <f t="shared" si="23"/>
        <v>7.216878364870323E-2</v>
      </c>
      <c r="W93" s="16">
        <f t="shared" si="24"/>
        <v>70.36</v>
      </c>
      <c r="X93" s="16">
        <f t="shared" si="24"/>
        <v>72.8</v>
      </c>
      <c r="Y93" s="16">
        <f t="shared" si="24"/>
        <v>76.400000000000006</v>
      </c>
      <c r="Z93" s="37"/>
      <c r="AA93" s="11"/>
    </row>
    <row r="94" spans="1:27" s="2" customFormat="1" ht="30" hidden="1" x14ac:dyDescent="0.25">
      <c r="A94" s="42" t="s">
        <v>199</v>
      </c>
      <c r="B94" s="59">
        <v>3387</v>
      </c>
      <c r="C94" s="42" t="s">
        <v>121</v>
      </c>
      <c r="D94" s="100" t="s">
        <v>200</v>
      </c>
      <c r="E94" s="100"/>
      <c r="F94" s="101" t="s">
        <v>352</v>
      </c>
      <c r="G94" s="43" t="s">
        <v>308</v>
      </c>
      <c r="H94" s="5" t="s">
        <v>36</v>
      </c>
      <c r="I94" s="5" t="s">
        <v>33</v>
      </c>
      <c r="J94" s="5" t="s">
        <v>33</v>
      </c>
      <c r="K94" s="5" t="s">
        <v>35</v>
      </c>
      <c r="L94" s="5" t="s">
        <v>35</v>
      </c>
      <c r="M94" s="52">
        <v>6</v>
      </c>
      <c r="N94" s="43" t="s">
        <v>177</v>
      </c>
      <c r="O94" s="16">
        <v>-175000</v>
      </c>
      <c r="P94" s="8"/>
      <c r="Q94" s="9">
        <v>0.1</v>
      </c>
      <c r="R94" s="16">
        <f t="shared" si="19"/>
        <v>-17500</v>
      </c>
      <c r="S94" s="8">
        <f t="shared" si="20"/>
        <v>0</v>
      </c>
      <c r="T94" s="19">
        <f t="shared" si="21"/>
        <v>-2.4999999999999994E-2</v>
      </c>
      <c r="U94" s="19">
        <f t="shared" si="22"/>
        <v>0.22500000000000001</v>
      </c>
      <c r="V94" s="19">
        <f t="shared" si="23"/>
        <v>7.216878364870323E-2</v>
      </c>
      <c r="W94" s="16">
        <f t="shared" si="24"/>
        <v>-30.782499999999999</v>
      </c>
      <c r="X94" s="16">
        <f t="shared" si="24"/>
        <v>-31.85</v>
      </c>
      <c r="Y94" s="16">
        <f t="shared" si="24"/>
        <v>-33.424999999999997</v>
      </c>
      <c r="Z94" s="37"/>
      <c r="AA94" s="11"/>
    </row>
    <row r="95" spans="1:27" s="2" customFormat="1" ht="60" hidden="1" x14ac:dyDescent="0.25">
      <c r="A95" s="42" t="s">
        <v>175</v>
      </c>
      <c r="B95" s="59">
        <v>3388</v>
      </c>
      <c r="C95" s="42" t="s">
        <v>121</v>
      </c>
      <c r="D95" s="94" t="s">
        <v>176</v>
      </c>
      <c r="E95" s="94"/>
      <c r="F95" s="93"/>
      <c r="G95" s="43" t="s">
        <v>341</v>
      </c>
      <c r="H95" s="5" t="s">
        <v>36</v>
      </c>
      <c r="I95" s="5" t="s">
        <v>33</v>
      </c>
      <c r="J95" s="5" t="s">
        <v>36</v>
      </c>
      <c r="K95" s="5" t="s">
        <v>35</v>
      </c>
      <c r="L95" s="5" t="s">
        <v>35</v>
      </c>
      <c r="M95" s="52">
        <v>6</v>
      </c>
      <c r="N95" s="43" t="s">
        <v>177</v>
      </c>
      <c r="O95" s="16">
        <v>-300000</v>
      </c>
      <c r="P95" s="8"/>
      <c r="Q95" s="9"/>
      <c r="R95" s="16">
        <f t="shared" si="19"/>
        <v>0</v>
      </c>
      <c r="S95" s="8">
        <f t="shared" si="20"/>
        <v>0</v>
      </c>
      <c r="T95" s="19">
        <f t="shared" si="21"/>
        <v>0</v>
      </c>
      <c r="U95" s="19">
        <f t="shared" si="22"/>
        <v>0</v>
      </c>
      <c r="V95" s="19">
        <f t="shared" si="23"/>
        <v>0</v>
      </c>
      <c r="W95" s="16">
        <f t="shared" si="24"/>
        <v>0</v>
      </c>
      <c r="X95" s="16">
        <f t="shared" si="24"/>
        <v>0</v>
      </c>
      <c r="Y95" s="16">
        <f t="shared" si="24"/>
        <v>0</v>
      </c>
      <c r="Z95" s="37"/>
      <c r="AA95" s="11"/>
    </row>
    <row r="96" spans="1:27" s="2" customFormat="1" ht="30" hidden="1" x14ac:dyDescent="0.25">
      <c r="A96" s="42" t="s">
        <v>238</v>
      </c>
      <c r="B96" s="59"/>
      <c r="C96" s="42" t="s">
        <v>61</v>
      </c>
      <c r="D96" s="43" t="s">
        <v>239</v>
      </c>
      <c r="E96" s="43"/>
      <c r="F96" s="85"/>
      <c r="G96" s="43"/>
      <c r="H96" s="5" t="s">
        <v>36</v>
      </c>
      <c r="I96" s="5" t="s">
        <v>35</v>
      </c>
      <c r="J96" s="5" t="s">
        <v>35</v>
      </c>
      <c r="K96" s="5" t="s">
        <v>36</v>
      </c>
      <c r="L96" s="5" t="s">
        <v>35</v>
      </c>
      <c r="M96" s="53">
        <v>3</v>
      </c>
      <c r="N96" s="43" t="s">
        <v>177</v>
      </c>
      <c r="O96" s="16"/>
      <c r="P96" s="8"/>
      <c r="Q96" s="9"/>
      <c r="R96" s="16">
        <f t="shared" si="19"/>
        <v>0</v>
      </c>
      <c r="S96" s="8">
        <f t="shared" si="20"/>
        <v>0</v>
      </c>
      <c r="T96" s="19">
        <f t="shared" si="21"/>
        <v>0</v>
      </c>
      <c r="U96" s="19">
        <f t="shared" si="22"/>
        <v>0</v>
      </c>
      <c r="V96" s="19">
        <f t="shared" si="23"/>
        <v>0</v>
      </c>
      <c r="W96" s="16">
        <f t="shared" si="24"/>
        <v>0</v>
      </c>
      <c r="X96" s="16">
        <f t="shared" si="24"/>
        <v>0</v>
      </c>
      <c r="Y96" s="16">
        <f t="shared" si="24"/>
        <v>0</v>
      </c>
      <c r="Z96" s="37"/>
      <c r="AA96" s="11"/>
    </row>
    <row r="97" spans="1:27" s="2" customFormat="1" ht="60" hidden="1" x14ac:dyDescent="0.25">
      <c r="A97" s="42" t="s">
        <v>242</v>
      </c>
      <c r="B97" s="59"/>
      <c r="C97" s="42" t="s">
        <v>61</v>
      </c>
      <c r="D97" s="43" t="s">
        <v>243</v>
      </c>
      <c r="E97" s="43"/>
      <c r="F97" s="85"/>
      <c r="G97" s="43"/>
      <c r="H97" s="5" t="s">
        <v>155</v>
      </c>
      <c r="I97" s="5" t="s">
        <v>35</v>
      </c>
      <c r="J97" s="5" t="s">
        <v>36</v>
      </c>
      <c r="K97" s="5" t="s">
        <v>33</v>
      </c>
      <c r="L97" s="5" t="s">
        <v>35</v>
      </c>
      <c r="M97" s="53">
        <v>2</v>
      </c>
      <c r="N97" s="43" t="s">
        <v>8</v>
      </c>
      <c r="O97" s="16"/>
      <c r="P97" s="8"/>
      <c r="Q97" s="9"/>
      <c r="R97" s="16">
        <f t="shared" si="19"/>
        <v>0</v>
      </c>
      <c r="S97" s="8">
        <f t="shared" si="20"/>
        <v>0</v>
      </c>
      <c r="T97" s="19">
        <f t="shared" si="21"/>
        <v>0</v>
      </c>
      <c r="U97" s="19">
        <f t="shared" si="22"/>
        <v>0</v>
      </c>
      <c r="V97" s="19">
        <f t="shared" si="23"/>
        <v>0</v>
      </c>
      <c r="W97" s="16">
        <f t="shared" si="24"/>
        <v>0</v>
      </c>
      <c r="X97" s="16">
        <f t="shared" si="24"/>
        <v>0</v>
      </c>
      <c r="Y97" s="16">
        <f t="shared" si="24"/>
        <v>0</v>
      </c>
      <c r="Z97" s="37"/>
      <c r="AA97" s="11"/>
    </row>
    <row r="98" spans="1:27" s="2" customFormat="1" ht="45" hidden="1" x14ac:dyDescent="0.25">
      <c r="A98" s="42" t="s">
        <v>114</v>
      </c>
      <c r="B98" s="59">
        <v>3389</v>
      </c>
      <c r="C98" s="42" t="s">
        <v>61</v>
      </c>
      <c r="D98" s="89" t="s">
        <v>115</v>
      </c>
      <c r="E98" s="89"/>
      <c r="F98" s="88">
        <v>100000</v>
      </c>
      <c r="G98" s="43" t="s">
        <v>116</v>
      </c>
      <c r="H98" s="5" t="s">
        <v>36</v>
      </c>
      <c r="I98" s="5" t="s">
        <v>35</v>
      </c>
      <c r="J98" s="5" t="s">
        <v>35</v>
      </c>
      <c r="K98" s="5" t="s">
        <v>34</v>
      </c>
      <c r="L98" s="5" t="s">
        <v>35</v>
      </c>
      <c r="M98" s="52">
        <v>12</v>
      </c>
      <c r="N98" s="43" t="s">
        <v>8</v>
      </c>
      <c r="O98" s="16">
        <v>0</v>
      </c>
      <c r="P98" s="8"/>
      <c r="Q98" s="9">
        <v>0.17</v>
      </c>
      <c r="R98" s="16">
        <f t="shared" si="19"/>
        <v>0</v>
      </c>
      <c r="S98" s="8">
        <f t="shared" si="20"/>
        <v>0</v>
      </c>
      <c r="T98" s="19">
        <f t="shared" si="21"/>
        <v>4.5000000000000012E-2</v>
      </c>
      <c r="U98" s="19">
        <f t="shared" si="22"/>
        <v>0.29500000000000004</v>
      </c>
      <c r="V98" s="19">
        <f t="shared" si="23"/>
        <v>7.216878364870323E-2</v>
      </c>
      <c r="W98" s="16">
        <f t="shared" si="24"/>
        <v>0</v>
      </c>
      <c r="X98" s="16">
        <f t="shared" si="24"/>
        <v>0</v>
      </c>
      <c r="Y98" s="16">
        <f t="shared" si="24"/>
        <v>0</v>
      </c>
      <c r="Z98" s="37"/>
      <c r="AA98" s="11"/>
    </row>
    <row r="99" spans="1:27" s="2" customFormat="1" ht="30" hidden="1" x14ac:dyDescent="0.25">
      <c r="A99" s="42" t="s">
        <v>240</v>
      </c>
      <c r="B99" s="59"/>
      <c r="C99" s="42" t="s">
        <v>61</v>
      </c>
      <c r="D99" s="43" t="s">
        <v>241</v>
      </c>
      <c r="E99" s="43"/>
      <c r="F99" s="85"/>
      <c r="G99" s="43"/>
      <c r="H99" s="5" t="s">
        <v>155</v>
      </c>
      <c r="I99" s="5" t="s">
        <v>35</v>
      </c>
      <c r="J99" s="5" t="s">
        <v>35</v>
      </c>
      <c r="K99" s="5" t="s">
        <v>33</v>
      </c>
      <c r="L99" s="5" t="s">
        <v>35</v>
      </c>
      <c r="M99" s="53">
        <v>2</v>
      </c>
      <c r="N99" s="43" t="s">
        <v>177</v>
      </c>
      <c r="O99" s="16"/>
      <c r="P99" s="8"/>
      <c r="Q99" s="9"/>
      <c r="R99" s="16">
        <f t="shared" si="19"/>
        <v>0</v>
      </c>
      <c r="S99" s="8">
        <f t="shared" si="20"/>
        <v>0</v>
      </c>
      <c r="T99" s="19">
        <f t="shared" si="21"/>
        <v>0</v>
      </c>
      <c r="U99" s="19">
        <f t="shared" si="22"/>
        <v>0</v>
      </c>
      <c r="V99" s="19">
        <f t="shared" si="23"/>
        <v>0</v>
      </c>
      <c r="W99" s="16">
        <f t="shared" si="24"/>
        <v>0</v>
      </c>
      <c r="X99" s="16">
        <f t="shared" si="24"/>
        <v>0</v>
      </c>
      <c r="Y99" s="16">
        <f t="shared" si="24"/>
        <v>0</v>
      </c>
      <c r="Z99" s="37"/>
      <c r="AA99" s="11"/>
    </row>
    <row r="100" spans="1:27" s="2" customFormat="1" ht="30" hidden="1" x14ac:dyDescent="0.25">
      <c r="A100" s="42" t="s">
        <v>118</v>
      </c>
      <c r="B100" s="59">
        <v>3390</v>
      </c>
      <c r="C100" s="42" t="s">
        <v>61</v>
      </c>
      <c r="D100" s="89" t="s">
        <v>119</v>
      </c>
      <c r="E100" s="89"/>
      <c r="F100" s="88">
        <v>5000</v>
      </c>
      <c r="G100" s="43" t="s">
        <v>116</v>
      </c>
      <c r="H100" s="5" t="s">
        <v>36</v>
      </c>
      <c r="I100" s="5" t="s">
        <v>35</v>
      </c>
      <c r="J100" s="5" t="s">
        <v>35</v>
      </c>
      <c r="K100" s="5" t="s">
        <v>34</v>
      </c>
      <c r="L100" s="5" t="s">
        <v>35</v>
      </c>
      <c r="M100" s="52">
        <v>12</v>
      </c>
      <c r="N100" s="43" t="s">
        <v>8</v>
      </c>
      <c r="O100" s="16">
        <v>0</v>
      </c>
      <c r="P100" s="8"/>
      <c r="Q100" s="9">
        <v>0.17</v>
      </c>
      <c r="R100" s="16">
        <f t="shared" si="19"/>
        <v>0</v>
      </c>
      <c r="S100" s="8">
        <f t="shared" si="20"/>
        <v>0</v>
      </c>
      <c r="T100" s="19">
        <f t="shared" si="21"/>
        <v>4.5000000000000012E-2</v>
      </c>
      <c r="U100" s="19">
        <f t="shared" si="22"/>
        <v>0.29500000000000004</v>
      </c>
      <c r="V100" s="19">
        <f t="shared" si="23"/>
        <v>7.216878364870323E-2</v>
      </c>
      <c r="W100" s="16">
        <f t="shared" si="24"/>
        <v>0</v>
      </c>
      <c r="X100" s="16">
        <f t="shared" si="24"/>
        <v>0</v>
      </c>
      <c r="Y100" s="16">
        <f t="shared" si="24"/>
        <v>0</v>
      </c>
      <c r="Z100" s="37"/>
      <c r="AA100" s="11"/>
    </row>
    <row r="101" spans="1:27" s="2" customFormat="1" ht="30" x14ac:dyDescent="0.25">
      <c r="A101" s="42" t="s">
        <v>261</v>
      </c>
      <c r="B101" s="59"/>
      <c r="C101" s="42" t="s">
        <v>61</v>
      </c>
      <c r="D101" s="44" t="s">
        <v>262</v>
      </c>
      <c r="E101" s="44"/>
      <c r="F101" s="86"/>
      <c r="G101" s="43" t="s">
        <v>253</v>
      </c>
      <c r="H101" s="5" t="s">
        <v>35</v>
      </c>
      <c r="I101" s="5" t="s">
        <v>35</v>
      </c>
      <c r="J101" s="5" t="s">
        <v>35</v>
      </c>
      <c r="K101" s="5" t="s">
        <v>33</v>
      </c>
      <c r="L101" s="5" t="s">
        <v>35</v>
      </c>
      <c r="M101" s="5">
        <v>0</v>
      </c>
      <c r="N101" s="43" t="s">
        <v>8</v>
      </c>
      <c r="O101" s="16"/>
      <c r="P101" s="8"/>
      <c r="Q101" s="9"/>
      <c r="R101" s="16">
        <f t="shared" si="19"/>
        <v>0</v>
      </c>
      <c r="S101" s="8">
        <f t="shared" si="20"/>
        <v>0</v>
      </c>
      <c r="T101" s="19">
        <f t="shared" si="21"/>
        <v>0</v>
      </c>
      <c r="U101" s="19">
        <f t="shared" si="22"/>
        <v>0</v>
      </c>
      <c r="V101" s="19">
        <f t="shared" si="23"/>
        <v>0</v>
      </c>
      <c r="W101" s="16">
        <f t="shared" si="24"/>
        <v>0</v>
      </c>
      <c r="X101" s="16">
        <f t="shared" si="24"/>
        <v>0</v>
      </c>
      <c r="Y101" s="16">
        <f t="shared" si="24"/>
        <v>0</v>
      </c>
      <c r="Z101" s="37"/>
      <c r="AA101" s="11"/>
    </row>
    <row r="102" spans="1:27" s="2" customFormat="1" ht="45" hidden="1" x14ac:dyDescent="0.25">
      <c r="A102" s="42" t="s">
        <v>168</v>
      </c>
      <c r="B102" s="59">
        <v>3391</v>
      </c>
      <c r="C102" s="42" t="s">
        <v>61</v>
      </c>
      <c r="D102" s="89" t="s">
        <v>169</v>
      </c>
      <c r="E102" s="89"/>
      <c r="F102" s="88">
        <v>5000</v>
      </c>
      <c r="G102" s="43" t="s">
        <v>116</v>
      </c>
      <c r="H102" s="5" t="s">
        <v>155</v>
      </c>
      <c r="I102" s="5" t="s">
        <v>35</v>
      </c>
      <c r="J102" s="5" t="s">
        <v>35</v>
      </c>
      <c r="K102" s="5" t="s">
        <v>36</v>
      </c>
      <c r="L102" s="5" t="s">
        <v>35</v>
      </c>
      <c r="M102" s="52">
        <v>6</v>
      </c>
      <c r="N102" s="43" t="s">
        <v>8</v>
      </c>
      <c r="O102" s="16">
        <v>0</v>
      </c>
      <c r="P102" s="8"/>
      <c r="Q102" s="9">
        <v>0.83</v>
      </c>
      <c r="R102" s="16">
        <f t="shared" si="19"/>
        <v>0</v>
      </c>
      <c r="S102" s="8">
        <f t="shared" si="20"/>
        <v>0</v>
      </c>
      <c r="T102" s="19">
        <f t="shared" si="21"/>
        <v>0.70499999999999996</v>
      </c>
      <c r="U102" s="19">
        <f t="shared" si="22"/>
        <v>0.95499999999999996</v>
      </c>
      <c r="V102" s="19">
        <f t="shared" si="23"/>
        <v>7.216878364870323E-2</v>
      </c>
      <c r="W102" s="16">
        <f t="shared" si="24"/>
        <v>0</v>
      </c>
      <c r="X102" s="16">
        <f t="shared" si="24"/>
        <v>0</v>
      </c>
      <c r="Y102" s="16">
        <f t="shared" si="24"/>
        <v>0</v>
      </c>
      <c r="Z102" s="37"/>
      <c r="AA102" s="11"/>
    </row>
    <row r="103" spans="1:27" s="2" customFormat="1" ht="30" x14ac:dyDescent="0.25">
      <c r="A103" s="42" t="s">
        <v>158</v>
      </c>
      <c r="B103" s="59"/>
      <c r="C103" s="42" t="s">
        <v>61</v>
      </c>
      <c r="D103" s="44" t="s">
        <v>159</v>
      </c>
      <c r="E103" s="44"/>
      <c r="F103" s="86"/>
      <c r="G103" s="43" t="s">
        <v>253</v>
      </c>
      <c r="H103" s="5" t="s">
        <v>36</v>
      </c>
      <c r="I103" s="5" t="s">
        <v>35</v>
      </c>
      <c r="J103" s="5" t="s">
        <v>35</v>
      </c>
      <c r="K103" s="5" t="s">
        <v>35</v>
      </c>
      <c r="L103" s="5" t="s">
        <v>35</v>
      </c>
      <c r="M103" s="5">
        <v>0</v>
      </c>
      <c r="N103" s="43" t="s">
        <v>8</v>
      </c>
      <c r="O103" s="16"/>
      <c r="P103" s="8"/>
      <c r="Q103" s="9"/>
      <c r="R103" s="16">
        <f t="shared" ref="R103:R122" si="25">O103*Q103</f>
        <v>0</v>
      </c>
      <c r="S103" s="8">
        <f t="shared" ref="S103:S122" si="26">P103*Q103</f>
        <v>0</v>
      </c>
      <c r="T103" s="19">
        <f t="shared" si="21"/>
        <v>0</v>
      </c>
      <c r="U103" s="19">
        <f t="shared" si="22"/>
        <v>0</v>
      </c>
      <c r="V103" s="19">
        <f t="shared" ref="V103:V122" si="27">(U103-T103)/SQRT(12)</f>
        <v>0</v>
      </c>
      <c r="W103" s="16">
        <f t="shared" si="24"/>
        <v>0</v>
      </c>
      <c r="X103" s="16">
        <f t="shared" si="24"/>
        <v>0</v>
      </c>
      <c r="Y103" s="16">
        <f t="shared" si="24"/>
        <v>0</v>
      </c>
      <c r="Z103" s="37"/>
      <c r="AA103" s="11"/>
    </row>
    <row r="104" spans="1:27" s="2" customFormat="1" ht="30" hidden="1" x14ac:dyDescent="0.25">
      <c r="A104" s="42" t="s">
        <v>6</v>
      </c>
      <c r="B104" s="59">
        <v>3392</v>
      </c>
      <c r="C104" s="42" t="s">
        <v>61</v>
      </c>
      <c r="D104" s="43" t="s">
        <v>7</v>
      </c>
      <c r="E104" s="43"/>
      <c r="F104" s="85">
        <v>5000</v>
      </c>
      <c r="G104" s="43"/>
      <c r="H104" s="55" t="s">
        <v>36</v>
      </c>
      <c r="I104" s="5" t="s">
        <v>35</v>
      </c>
      <c r="J104" s="5" t="s">
        <v>34</v>
      </c>
      <c r="K104" s="5" t="s">
        <v>34</v>
      </c>
      <c r="L104" s="5" t="s">
        <v>35</v>
      </c>
      <c r="M104" s="51">
        <v>24</v>
      </c>
      <c r="N104" s="43" t="s">
        <v>8</v>
      </c>
      <c r="O104" s="16">
        <v>390000</v>
      </c>
      <c r="P104" s="8">
        <v>100</v>
      </c>
      <c r="Q104" s="9">
        <v>0.1</v>
      </c>
      <c r="R104" s="16">
        <f t="shared" si="25"/>
        <v>39000</v>
      </c>
      <c r="S104" s="8">
        <f t="shared" si="26"/>
        <v>10</v>
      </c>
      <c r="T104" s="19">
        <f t="shared" si="21"/>
        <v>-2.4999999999999994E-2</v>
      </c>
      <c r="U104" s="19">
        <f t="shared" si="22"/>
        <v>0.22500000000000001</v>
      </c>
      <c r="V104" s="19">
        <f t="shared" si="27"/>
        <v>7.216878364870323E-2</v>
      </c>
      <c r="W104" s="16">
        <f t="shared" si="24"/>
        <v>68.600999999999999</v>
      </c>
      <c r="X104" s="16">
        <f t="shared" si="24"/>
        <v>70.98</v>
      </c>
      <c r="Y104" s="16">
        <f t="shared" si="24"/>
        <v>74.489999999999995</v>
      </c>
      <c r="Z104" s="37"/>
      <c r="AA104" s="11"/>
    </row>
    <row r="105" spans="1:27" s="2" customFormat="1" ht="30" hidden="1" x14ac:dyDescent="0.25">
      <c r="A105" s="42" t="s">
        <v>3</v>
      </c>
      <c r="B105" s="59">
        <v>3393</v>
      </c>
      <c r="C105" s="42" t="s">
        <v>61</v>
      </c>
      <c r="D105" s="43" t="s">
        <v>4</v>
      </c>
      <c r="E105" s="43" t="s">
        <v>340</v>
      </c>
      <c r="F105" s="85"/>
      <c r="G105" s="43"/>
      <c r="H105" s="5" t="s">
        <v>33</v>
      </c>
      <c r="I105" s="5" t="s">
        <v>35</v>
      </c>
      <c r="J105" s="5" t="s">
        <v>33</v>
      </c>
      <c r="K105" s="5" t="s">
        <v>35</v>
      </c>
      <c r="L105" s="5" t="s">
        <v>35</v>
      </c>
      <c r="M105" s="52">
        <v>14</v>
      </c>
      <c r="N105" s="43" t="s">
        <v>5</v>
      </c>
      <c r="O105" s="16">
        <v>500000</v>
      </c>
      <c r="P105" s="8"/>
      <c r="Q105" s="9">
        <v>0.5</v>
      </c>
      <c r="R105" s="16">
        <f t="shared" si="25"/>
        <v>250000</v>
      </c>
      <c r="S105" s="8">
        <f t="shared" si="26"/>
        <v>0</v>
      </c>
      <c r="T105" s="19">
        <f t="shared" si="21"/>
        <v>0.375</v>
      </c>
      <c r="U105" s="19">
        <f t="shared" si="22"/>
        <v>0.625</v>
      </c>
      <c r="V105" s="19">
        <f t="shared" si="27"/>
        <v>7.216878364870323E-2</v>
      </c>
      <c r="W105" s="16">
        <f t="shared" si="24"/>
        <v>439.75</v>
      </c>
      <c r="X105" s="16">
        <f t="shared" si="24"/>
        <v>455</v>
      </c>
      <c r="Y105" s="16">
        <f t="shared" si="24"/>
        <v>477.5</v>
      </c>
      <c r="Z105" s="37"/>
      <c r="AA105" s="11"/>
    </row>
    <row r="106" spans="1:27" s="2" customFormat="1" ht="30" hidden="1" x14ac:dyDescent="0.25">
      <c r="A106" s="42" t="s">
        <v>191</v>
      </c>
      <c r="B106" s="59">
        <v>3394</v>
      </c>
      <c r="C106" s="42" t="s">
        <v>61</v>
      </c>
      <c r="D106" s="43" t="s">
        <v>192</v>
      </c>
      <c r="E106" s="43" t="s">
        <v>340</v>
      </c>
      <c r="F106" s="85"/>
      <c r="G106" s="43"/>
      <c r="H106" s="5" t="s">
        <v>36</v>
      </c>
      <c r="I106" s="5" t="s">
        <v>35</v>
      </c>
      <c r="J106" s="5" t="s">
        <v>36</v>
      </c>
      <c r="K106" s="5" t="s">
        <v>35</v>
      </c>
      <c r="L106" s="5" t="s">
        <v>35</v>
      </c>
      <c r="M106" s="52">
        <v>6</v>
      </c>
      <c r="N106" s="43" t="s">
        <v>5</v>
      </c>
      <c r="O106" s="16">
        <v>75000</v>
      </c>
      <c r="P106" s="8"/>
      <c r="Q106" s="9">
        <v>0.2</v>
      </c>
      <c r="R106" s="16">
        <f t="shared" si="25"/>
        <v>15000</v>
      </c>
      <c r="S106" s="8">
        <f t="shared" si="26"/>
        <v>0</v>
      </c>
      <c r="T106" s="19">
        <f t="shared" si="21"/>
        <v>7.5000000000000011E-2</v>
      </c>
      <c r="U106" s="19">
        <f t="shared" si="22"/>
        <v>0.32500000000000001</v>
      </c>
      <c r="V106" s="19">
        <f t="shared" si="27"/>
        <v>7.216878364870323E-2</v>
      </c>
      <c r="W106" s="16">
        <f t="shared" si="24"/>
        <v>26.385000000000002</v>
      </c>
      <c r="X106" s="16">
        <f t="shared" si="24"/>
        <v>27.3</v>
      </c>
      <c r="Y106" s="16">
        <f t="shared" si="24"/>
        <v>28.65</v>
      </c>
      <c r="Z106" s="37"/>
      <c r="AA106" s="11"/>
    </row>
    <row r="107" spans="1:27" s="2" customFormat="1" ht="30" hidden="1" x14ac:dyDescent="0.25">
      <c r="A107" s="42" t="s">
        <v>197</v>
      </c>
      <c r="B107" s="59">
        <v>3395</v>
      </c>
      <c r="C107" s="42" t="s">
        <v>61</v>
      </c>
      <c r="D107" s="43" t="s">
        <v>198</v>
      </c>
      <c r="E107" s="43" t="s">
        <v>340</v>
      </c>
      <c r="F107" s="85"/>
      <c r="G107" s="43"/>
      <c r="H107" s="5" t="s">
        <v>36</v>
      </c>
      <c r="I107" s="5" t="s">
        <v>35</v>
      </c>
      <c r="J107" s="5" t="s">
        <v>33</v>
      </c>
      <c r="K107" s="5" t="s">
        <v>33</v>
      </c>
      <c r="L107" s="5" t="s">
        <v>35</v>
      </c>
      <c r="M107" s="52">
        <v>6</v>
      </c>
      <c r="N107" s="43" t="s">
        <v>5</v>
      </c>
      <c r="O107" s="16">
        <v>130000</v>
      </c>
      <c r="P107" s="8"/>
      <c r="Q107" s="9">
        <v>0.1</v>
      </c>
      <c r="R107" s="16">
        <f t="shared" si="25"/>
        <v>13000</v>
      </c>
      <c r="S107" s="8">
        <f t="shared" si="26"/>
        <v>0</v>
      </c>
      <c r="T107" s="19">
        <f t="shared" si="21"/>
        <v>-2.4999999999999994E-2</v>
      </c>
      <c r="U107" s="19">
        <f t="shared" si="22"/>
        <v>0.22500000000000001</v>
      </c>
      <c r="V107" s="19">
        <f t="shared" si="27"/>
        <v>7.216878364870323E-2</v>
      </c>
      <c r="W107" s="16">
        <f t="shared" si="24"/>
        <v>22.867000000000001</v>
      </c>
      <c r="X107" s="16">
        <f t="shared" si="24"/>
        <v>23.66</v>
      </c>
      <c r="Y107" s="16">
        <f t="shared" si="24"/>
        <v>24.83</v>
      </c>
      <c r="Z107" s="37"/>
      <c r="AA107" s="11"/>
    </row>
    <row r="108" spans="1:27" s="2" customFormat="1" hidden="1" x14ac:dyDescent="0.25">
      <c r="A108" s="42" t="s">
        <v>193</v>
      </c>
      <c r="B108" s="59">
        <v>3396</v>
      </c>
      <c r="C108" s="42" t="s">
        <v>121</v>
      </c>
      <c r="D108" s="43" t="s">
        <v>194</v>
      </c>
      <c r="E108" s="43" t="s">
        <v>340</v>
      </c>
      <c r="F108" s="85"/>
      <c r="G108" s="43"/>
      <c r="H108" s="5" t="s">
        <v>34</v>
      </c>
      <c r="I108" s="5" t="s">
        <v>35</v>
      </c>
      <c r="J108" s="5" t="s">
        <v>36</v>
      </c>
      <c r="K108" s="5" t="s">
        <v>35</v>
      </c>
      <c r="L108" s="5" t="s">
        <v>35</v>
      </c>
      <c r="M108" s="52">
        <v>6</v>
      </c>
      <c r="N108" s="43" t="s">
        <v>5</v>
      </c>
      <c r="O108" s="16">
        <v>-30000</v>
      </c>
      <c r="P108" s="8"/>
      <c r="Q108" s="9">
        <v>0.5</v>
      </c>
      <c r="R108" s="16">
        <f t="shared" si="25"/>
        <v>-15000</v>
      </c>
      <c r="S108" s="8">
        <f t="shared" si="26"/>
        <v>0</v>
      </c>
      <c r="T108" s="19">
        <f t="shared" si="21"/>
        <v>0.375</v>
      </c>
      <c r="U108" s="19">
        <f t="shared" si="22"/>
        <v>0.625</v>
      </c>
      <c r="V108" s="19">
        <f t="shared" si="27"/>
        <v>7.216878364870323E-2</v>
      </c>
      <c r="W108" s="16">
        <f t="shared" si="24"/>
        <v>-26.385000000000002</v>
      </c>
      <c r="X108" s="16">
        <f t="shared" si="24"/>
        <v>-27.3</v>
      </c>
      <c r="Y108" s="16">
        <f t="shared" si="24"/>
        <v>-28.65</v>
      </c>
      <c r="Z108" s="37"/>
      <c r="AA108" s="11"/>
    </row>
    <row r="109" spans="1:27" s="2" customFormat="1" ht="30" hidden="1" x14ac:dyDescent="0.25">
      <c r="A109" s="42" t="s">
        <v>25</v>
      </c>
      <c r="B109" s="59">
        <v>3397</v>
      </c>
      <c r="C109" s="42" t="s">
        <v>121</v>
      </c>
      <c r="D109" s="43" t="s">
        <v>161</v>
      </c>
      <c r="E109" s="43" t="s">
        <v>340</v>
      </c>
      <c r="F109" s="85"/>
      <c r="G109" s="43"/>
      <c r="H109" s="5" t="s">
        <v>33</v>
      </c>
      <c r="I109" s="5" t="s">
        <v>35</v>
      </c>
      <c r="J109" s="5" t="s">
        <v>36</v>
      </c>
      <c r="K109" s="5" t="s">
        <v>35</v>
      </c>
      <c r="L109" s="5" t="s">
        <v>35</v>
      </c>
      <c r="M109" s="52">
        <v>6</v>
      </c>
      <c r="N109" s="43" t="s">
        <v>5</v>
      </c>
      <c r="O109" s="16">
        <v>-20000</v>
      </c>
      <c r="P109" s="8"/>
      <c r="Q109" s="9">
        <v>0.25</v>
      </c>
      <c r="R109" s="16">
        <f t="shared" si="25"/>
        <v>-5000</v>
      </c>
      <c r="S109" s="8">
        <f t="shared" si="26"/>
        <v>0</v>
      </c>
      <c r="T109" s="19">
        <f t="shared" si="21"/>
        <v>0.125</v>
      </c>
      <c r="U109" s="19">
        <f t="shared" si="22"/>
        <v>0.375</v>
      </c>
      <c r="V109" s="19">
        <f t="shared" si="27"/>
        <v>7.216878364870323E-2</v>
      </c>
      <c r="W109" s="16">
        <f t="shared" si="24"/>
        <v>-8.7949999999999999</v>
      </c>
      <c r="X109" s="16">
        <f t="shared" si="24"/>
        <v>-9.1</v>
      </c>
      <c r="Y109" s="16">
        <f t="shared" si="24"/>
        <v>-9.5500000000000007</v>
      </c>
      <c r="Z109" s="37"/>
      <c r="AA109" s="11"/>
    </row>
    <row r="110" spans="1:27" s="2" customFormat="1" ht="45" hidden="1" x14ac:dyDescent="0.25">
      <c r="A110" s="42" t="s">
        <v>232</v>
      </c>
      <c r="B110" s="59">
        <v>3398</v>
      </c>
      <c r="C110" s="42" t="s">
        <v>121</v>
      </c>
      <c r="D110" s="43" t="s">
        <v>233</v>
      </c>
      <c r="E110" s="43" t="s">
        <v>340</v>
      </c>
      <c r="F110" s="85"/>
      <c r="G110" s="43"/>
      <c r="H110" s="5" t="s">
        <v>36</v>
      </c>
      <c r="I110" s="5" t="s">
        <v>35</v>
      </c>
      <c r="J110" s="5" t="s">
        <v>36</v>
      </c>
      <c r="K110" s="5" t="s">
        <v>35</v>
      </c>
      <c r="L110" s="5" t="s">
        <v>35</v>
      </c>
      <c r="M110" s="53">
        <v>3</v>
      </c>
      <c r="N110" s="43" t="s">
        <v>5</v>
      </c>
      <c r="O110" s="16">
        <v>-40000</v>
      </c>
      <c r="P110" s="8"/>
      <c r="Q110" s="9">
        <v>0.1</v>
      </c>
      <c r="R110" s="16">
        <f t="shared" si="25"/>
        <v>-4000</v>
      </c>
      <c r="S110" s="8">
        <f t="shared" si="26"/>
        <v>0</v>
      </c>
      <c r="T110" s="19">
        <f t="shared" si="21"/>
        <v>-2.4999999999999994E-2</v>
      </c>
      <c r="U110" s="19">
        <f t="shared" si="22"/>
        <v>0.22500000000000001</v>
      </c>
      <c r="V110" s="19">
        <f t="shared" si="27"/>
        <v>7.216878364870323E-2</v>
      </c>
      <c r="W110" s="16">
        <f t="shared" si="24"/>
        <v>-7.0359999999999996</v>
      </c>
      <c r="X110" s="16">
        <f t="shared" si="24"/>
        <v>-7.28</v>
      </c>
      <c r="Y110" s="16">
        <f t="shared" si="24"/>
        <v>-7.64</v>
      </c>
      <c r="Z110" s="37"/>
      <c r="AA110" s="11"/>
    </row>
    <row r="111" spans="1:27" s="2" customFormat="1" ht="45" hidden="1" x14ac:dyDescent="0.25">
      <c r="A111" s="42" t="s">
        <v>184</v>
      </c>
      <c r="B111" s="59">
        <v>3399</v>
      </c>
      <c r="C111" s="42" t="s">
        <v>121</v>
      </c>
      <c r="D111" s="43" t="s">
        <v>185</v>
      </c>
      <c r="E111" s="43" t="s">
        <v>340</v>
      </c>
      <c r="F111" s="85"/>
      <c r="G111" s="43"/>
      <c r="H111" s="5" t="s">
        <v>36</v>
      </c>
      <c r="I111" s="5" t="s">
        <v>35</v>
      </c>
      <c r="J111" s="5" t="s">
        <v>33</v>
      </c>
      <c r="K111" s="5" t="s">
        <v>35</v>
      </c>
      <c r="L111" s="5" t="s">
        <v>35</v>
      </c>
      <c r="M111" s="52">
        <v>6</v>
      </c>
      <c r="N111" s="43" t="s">
        <v>5</v>
      </c>
      <c r="O111" s="16">
        <v>-40000</v>
      </c>
      <c r="P111" s="8"/>
      <c r="Q111" s="9">
        <v>0.1</v>
      </c>
      <c r="R111" s="48">
        <f t="shared" si="25"/>
        <v>-4000</v>
      </c>
      <c r="S111" s="8">
        <f t="shared" si="26"/>
        <v>0</v>
      </c>
      <c r="T111" s="19">
        <f t="shared" si="21"/>
        <v>-2.4999999999999994E-2</v>
      </c>
      <c r="U111" s="19">
        <f t="shared" si="22"/>
        <v>0.22500000000000001</v>
      </c>
      <c r="V111" s="19">
        <f t="shared" si="27"/>
        <v>7.216878364870323E-2</v>
      </c>
      <c r="W111" s="16">
        <f t="shared" si="24"/>
        <v>-7.0359999999999996</v>
      </c>
      <c r="X111" s="16">
        <f t="shared" si="24"/>
        <v>-7.28</v>
      </c>
      <c r="Y111" s="16">
        <f t="shared" si="24"/>
        <v>-7.64</v>
      </c>
      <c r="Z111" s="37"/>
      <c r="AA111" s="11"/>
    </row>
    <row r="112" spans="1:27" s="2" customFormat="1" ht="13.5" hidden="1" customHeight="1" x14ac:dyDescent="0.25">
      <c r="A112" s="42" t="s">
        <v>75</v>
      </c>
      <c r="B112" s="59">
        <v>3400</v>
      </c>
      <c r="C112" s="42" t="s">
        <v>61</v>
      </c>
      <c r="D112" s="54" t="s">
        <v>303</v>
      </c>
      <c r="E112" s="54" t="s">
        <v>349</v>
      </c>
      <c r="F112" s="87">
        <v>2000000</v>
      </c>
      <c r="G112" s="54"/>
      <c r="H112" s="55" t="s">
        <v>36</v>
      </c>
      <c r="I112" s="5" t="s">
        <v>35</v>
      </c>
      <c r="J112" s="5" t="s">
        <v>34</v>
      </c>
      <c r="K112" s="5" t="s">
        <v>34</v>
      </c>
      <c r="L112" s="5" t="s">
        <v>35</v>
      </c>
      <c r="M112" s="51">
        <v>24</v>
      </c>
      <c r="N112" s="43" t="s">
        <v>76</v>
      </c>
      <c r="O112" s="71">
        <v>0</v>
      </c>
      <c r="P112" s="72">
        <v>0</v>
      </c>
      <c r="Q112" s="74">
        <v>0.1</v>
      </c>
      <c r="R112" s="16">
        <f t="shared" si="25"/>
        <v>0</v>
      </c>
      <c r="S112" s="8">
        <f t="shared" si="26"/>
        <v>0</v>
      </c>
      <c r="T112" s="19">
        <f t="shared" si="21"/>
        <v>-2.4999999999999994E-2</v>
      </c>
      <c r="U112" s="19">
        <f t="shared" si="22"/>
        <v>0.22500000000000001</v>
      </c>
      <c r="V112" s="19">
        <f t="shared" si="27"/>
        <v>7.216878364870323E-2</v>
      </c>
      <c r="W112" s="16">
        <f t="shared" si="24"/>
        <v>0</v>
      </c>
      <c r="X112" s="16">
        <f t="shared" si="24"/>
        <v>0</v>
      </c>
      <c r="Y112" s="16">
        <f t="shared" si="24"/>
        <v>0</v>
      </c>
      <c r="Z112" s="37"/>
      <c r="AA112" s="11"/>
    </row>
    <row r="113" spans="1:27" s="2" customFormat="1" ht="45" x14ac:dyDescent="0.25">
      <c r="A113" s="42" t="s">
        <v>277</v>
      </c>
      <c r="B113" s="59"/>
      <c r="C113" s="42" t="s">
        <v>61</v>
      </c>
      <c r="D113" s="44" t="s">
        <v>278</v>
      </c>
      <c r="E113" s="44"/>
      <c r="F113" s="86"/>
      <c r="G113" s="43" t="s">
        <v>253</v>
      </c>
      <c r="H113" s="5" t="s">
        <v>36</v>
      </c>
      <c r="I113" s="5" t="s">
        <v>35</v>
      </c>
      <c r="J113" s="5" t="s">
        <v>33</v>
      </c>
      <c r="K113" s="5" t="s">
        <v>35</v>
      </c>
      <c r="L113" s="5" t="s">
        <v>35</v>
      </c>
      <c r="M113" s="5">
        <v>0</v>
      </c>
      <c r="N113" s="43" t="s">
        <v>76</v>
      </c>
      <c r="O113" s="16"/>
      <c r="P113" s="8"/>
      <c r="Q113" s="9"/>
      <c r="R113" s="16">
        <f t="shared" si="25"/>
        <v>0</v>
      </c>
      <c r="S113" s="8">
        <f t="shared" si="26"/>
        <v>0</v>
      </c>
      <c r="T113" s="19">
        <f t="shared" si="21"/>
        <v>0</v>
      </c>
      <c r="U113" s="19">
        <f t="shared" si="22"/>
        <v>0</v>
      </c>
      <c r="V113" s="19">
        <f t="shared" si="27"/>
        <v>0</v>
      </c>
      <c r="W113" s="16">
        <f t="shared" si="24"/>
        <v>0</v>
      </c>
      <c r="X113" s="16">
        <f t="shared" si="24"/>
        <v>0</v>
      </c>
      <c r="Y113" s="16">
        <f t="shared" si="24"/>
        <v>0</v>
      </c>
      <c r="Z113" s="37"/>
      <c r="AA113" s="11"/>
    </row>
    <row r="114" spans="1:27" s="2" customFormat="1" ht="130.5" hidden="1" customHeight="1" x14ac:dyDescent="0.25">
      <c r="A114" s="42" t="s">
        <v>234</v>
      </c>
      <c r="B114" s="59"/>
      <c r="C114" s="42" t="s">
        <v>61</v>
      </c>
      <c r="D114" s="43" t="s">
        <v>235</v>
      </c>
      <c r="E114" s="43"/>
      <c r="F114" s="85"/>
      <c r="G114" s="43"/>
      <c r="H114" s="5" t="s">
        <v>36</v>
      </c>
      <c r="I114" s="5" t="s">
        <v>35</v>
      </c>
      <c r="J114" s="5" t="s">
        <v>36</v>
      </c>
      <c r="K114" s="5" t="s">
        <v>35</v>
      </c>
      <c r="L114" s="5" t="s">
        <v>35</v>
      </c>
      <c r="M114" s="53">
        <v>3</v>
      </c>
      <c r="N114" s="43" t="s">
        <v>76</v>
      </c>
      <c r="O114" s="16"/>
      <c r="P114" s="8"/>
      <c r="Q114" s="9"/>
      <c r="R114" s="16">
        <f t="shared" si="25"/>
        <v>0</v>
      </c>
      <c r="S114" s="8">
        <f t="shared" si="26"/>
        <v>0</v>
      </c>
      <c r="T114" s="19">
        <f t="shared" si="21"/>
        <v>0</v>
      </c>
      <c r="U114" s="19">
        <f t="shared" si="22"/>
        <v>0</v>
      </c>
      <c r="V114" s="19">
        <f t="shared" si="27"/>
        <v>0</v>
      </c>
      <c r="W114" s="16">
        <f t="shared" si="24"/>
        <v>0</v>
      </c>
      <c r="X114" s="16">
        <f t="shared" si="24"/>
        <v>0</v>
      </c>
      <c r="Y114" s="16">
        <f t="shared" si="24"/>
        <v>0</v>
      </c>
      <c r="Z114" s="37"/>
      <c r="AA114" s="11"/>
    </row>
    <row r="115" spans="1:27" s="2" customFormat="1" ht="60" x14ac:dyDescent="0.25">
      <c r="A115" s="42" t="s">
        <v>110</v>
      </c>
      <c r="B115" s="59">
        <v>3401</v>
      </c>
      <c r="C115" s="42" t="s">
        <v>61</v>
      </c>
      <c r="D115" s="97" t="s">
        <v>304</v>
      </c>
      <c r="E115" s="86"/>
      <c r="F115" s="86"/>
      <c r="G115" s="43" t="s">
        <v>253</v>
      </c>
      <c r="H115" s="5" t="s">
        <v>36</v>
      </c>
      <c r="I115" s="5" t="s">
        <v>35</v>
      </c>
      <c r="J115" s="5" t="s">
        <v>33</v>
      </c>
      <c r="K115" s="5" t="s">
        <v>34</v>
      </c>
      <c r="L115" s="5" t="s">
        <v>35</v>
      </c>
      <c r="M115" s="52">
        <v>12</v>
      </c>
      <c r="N115" s="43" t="s">
        <v>76</v>
      </c>
      <c r="O115" s="71">
        <v>0</v>
      </c>
      <c r="P115" s="72">
        <v>0</v>
      </c>
      <c r="Q115" s="9">
        <v>0</v>
      </c>
      <c r="R115" s="16">
        <f t="shared" si="25"/>
        <v>0</v>
      </c>
      <c r="S115" s="8">
        <f t="shared" si="26"/>
        <v>0</v>
      </c>
      <c r="T115" s="19">
        <f t="shared" si="21"/>
        <v>0</v>
      </c>
      <c r="U115" s="19">
        <f t="shared" si="22"/>
        <v>0</v>
      </c>
      <c r="V115" s="19">
        <f t="shared" si="27"/>
        <v>0</v>
      </c>
      <c r="W115" s="16">
        <f t="shared" si="24"/>
        <v>0</v>
      </c>
      <c r="X115" s="16">
        <f t="shared" si="24"/>
        <v>0</v>
      </c>
      <c r="Y115" s="16">
        <f t="shared" si="24"/>
        <v>0</v>
      </c>
      <c r="Z115" s="37"/>
      <c r="AA115" s="11"/>
    </row>
    <row r="116" spans="1:27" s="2" customFormat="1" ht="45" hidden="1" x14ac:dyDescent="0.25">
      <c r="A116" s="42" t="s">
        <v>105</v>
      </c>
      <c r="B116" s="59"/>
      <c r="C116" s="42" t="s">
        <v>61</v>
      </c>
      <c r="D116" s="43" t="s">
        <v>217</v>
      </c>
      <c r="E116" s="43"/>
      <c r="F116" s="85"/>
      <c r="G116" s="43"/>
      <c r="H116" s="5" t="s">
        <v>36</v>
      </c>
      <c r="I116" s="5" t="s">
        <v>35</v>
      </c>
      <c r="J116" s="5" t="s">
        <v>36</v>
      </c>
      <c r="K116" s="5" t="s">
        <v>35</v>
      </c>
      <c r="L116" s="5" t="s">
        <v>35</v>
      </c>
      <c r="M116" s="53">
        <v>3</v>
      </c>
      <c r="N116" s="43" t="s">
        <v>218</v>
      </c>
      <c r="O116" s="16"/>
      <c r="P116" s="8"/>
      <c r="Q116" s="9"/>
      <c r="R116" s="16">
        <f t="shared" si="25"/>
        <v>0</v>
      </c>
      <c r="S116" s="8">
        <f t="shared" si="26"/>
        <v>0</v>
      </c>
      <c r="T116" s="19">
        <f t="shared" si="21"/>
        <v>0</v>
      </c>
      <c r="U116" s="19">
        <f t="shared" si="22"/>
        <v>0</v>
      </c>
      <c r="V116" s="19">
        <f t="shared" si="27"/>
        <v>0</v>
      </c>
      <c r="W116" s="16">
        <f t="shared" si="24"/>
        <v>0</v>
      </c>
      <c r="X116" s="16">
        <f t="shared" si="24"/>
        <v>0</v>
      </c>
      <c r="Y116" s="16">
        <f t="shared" si="24"/>
        <v>0</v>
      </c>
      <c r="Z116" s="37"/>
      <c r="AA116" s="11"/>
    </row>
    <row r="117" spans="1:27" s="2" customFormat="1" ht="45" x14ac:dyDescent="0.25">
      <c r="A117" s="42" t="s">
        <v>251</v>
      </c>
      <c r="B117" s="59"/>
      <c r="C117" s="42" t="s">
        <v>61</v>
      </c>
      <c r="D117" s="44" t="s">
        <v>252</v>
      </c>
      <c r="E117" s="44"/>
      <c r="F117" s="86"/>
      <c r="G117" s="43" t="s">
        <v>253</v>
      </c>
      <c r="H117" s="5" t="s">
        <v>36</v>
      </c>
      <c r="I117" s="5" t="s">
        <v>35</v>
      </c>
      <c r="J117" s="5" t="s">
        <v>36</v>
      </c>
      <c r="K117" s="5" t="s">
        <v>35</v>
      </c>
      <c r="L117" s="5" t="s">
        <v>35</v>
      </c>
      <c r="M117" s="5">
        <v>0</v>
      </c>
      <c r="N117" s="43" t="s">
        <v>218</v>
      </c>
      <c r="O117" s="16"/>
      <c r="P117" s="8"/>
      <c r="Q117" s="9"/>
      <c r="R117" s="16">
        <f t="shared" si="25"/>
        <v>0</v>
      </c>
      <c r="S117" s="8">
        <f t="shared" si="26"/>
        <v>0</v>
      </c>
      <c r="T117" s="19">
        <f t="shared" si="21"/>
        <v>0</v>
      </c>
      <c r="U117" s="19">
        <f t="shared" si="22"/>
        <v>0</v>
      </c>
      <c r="V117" s="19">
        <f t="shared" si="27"/>
        <v>0</v>
      </c>
      <c r="W117" s="16">
        <f t="shared" si="24"/>
        <v>0</v>
      </c>
      <c r="X117" s="16">
        <f t="shared" si="24"/>
        <v>0</v>
      </c>
      <c r="Y117" s="16">
        <f t="shared" si="24"/>
        <v>0</v>
      </c>
      <c r="Z117" s="37"/>
      <c r="AA117" s="11"/>
    </row>
    <row r="118" spans="1:27" s="2" customFormat="1" ht="30" x14ac:dyDescent="0.25">
      <c r="A118" s="42" t="s">
        <v>259</v>
      </c>
      <c r="B118" s="59"/>
      <c r="C118" s="42" t="s">
        <v>61</v>
      </c>
      <c r="D118" s="44" t="s">
        <v>260</v>
      </c>
      <c r="E118" s="44"/>
      <c r="F118" s="86"/>
      <c r="G118" s="43" t="s">
        <v>253</v>
      </c>
      <c r="H118" s="5" t="s">
        <v>36</v>
      </c>
      <c r="I118" s="5" t="s">
        <v>35</v>
      </c>
      <c r="J118" s="5" t="s">
        <v>36</v>
      </c>
      <c r="K118" s="5" t="s">
        <v>35</v>
      </c>
      <c r="L118" s="5" t="s">
        <v>35</v>
      </c>
      <c r="M118" s="5">
        <v>0</v>
      </c>
      <c r="N118" s="43" t="s">
        <v>218</v>
      </c>
      <c r="O118" s="16"/>
      <c r="P118" s="8"/>
      <c r="Q118" s="9"/>
      <c r="R118" s="16">
        <f t="shared" si="25"/>
        <v>0</v>
      </c>
      <c r="S118" s="8">
        <f t="shared" si="26"/>
        <v>0</v>
      </c>
      <c r="T118" s="19">
        <f t="shared" si="21"/>
        <v>0</v>
      </c>
      <c r="U118" s="19">
        <f t="shared" si="22"/>
        <v>0</v>
      </c>
      <c r="V118" s="19">
        <f t="shared" si="27"/>
        <v>0</v>
      </c>
      <c r="W118" s="16">
        <f t="shared" si="24"/>
        <v>0</v>
      </c>
      <c r="X118" s="16">
        <f t="shared" si="24"/>
        <v>0</v>
      </c>
      <c r="Y118" s="16">
        <f t="shared" si="24"/>
        <v>0</v>
      </c>
      <c r="Z118" s="37"/>
      <c r="AA118" s="11"/>
    </row>
    <row r="119" spans="1:27" s="2" customFormat="1" hidden="1" x14ac:dyDescent="0.25">
      <c r="A119" s="42" t="s">
        <v>178</v>
      </c>
      <c r="B119" s="59">
        <v>3402</v>
      </c>
      <c r="C119" s="42" t="s">
        <v>61</v>
      </c>
      <c r="D119" s="43" t="s">
        <v>179</v>
      </c>
      <c r="E119" s="43" t="s">
        <v>350</v>
      </c>
      <c r="F119" s="85"/>
      <c r="G119" s="43"/>
      <c r="H119" s="5" t="s">
        <v>36</v>
      </c>
      <c r="I119" s="5" t="s">
        <v>35</v>
      </c>
      <c r="J119" s="5" t="s">
        <v>35</v>
      </c>
      <c r="K119" s="5" t="s">
        <v>33</v>
      </c>
      <c r="L119" s="5" t="s">
        <v>35</v>
      </c>
      <c r="M119" s="52">
        <v>6</v>
      </c>
      <c r="N119" s="43" t="s">
        <v>76</v>
      </c>
      <c r="O119" s="16">
        <v>0</v>
      </c>
      <c r="P119" s="8"/>
      <c r="Q119" s="9">
        <v>0.17</v>
      </c>
      <c r="R119" s="16">
        <f t="shared" si="25"/>
        <v>0</v>
      </c>
      <c r="S119" s="8">
        <f t="shared" si="26"/>
        <v>0</v>
      </c>
      <c r="T119" s="19">
        <f t="shared" si="21"/>
        <v>4.5000000000000012E-2</v>
      </c>
      <c r="U119" s="19">
        <f t="shared" si="22"/>
        <v>0.29500000000000004</v>
      </c>
      <c r="V119" s="19">
        <f t="shared" si="27"/>
        <v>7.216878364870323E-2</v>
      </c>
      <c r="W119" s="16">
        <f t="shared" si="24"/>
        <v>0</v>
      </c>
      <c r="X119" s="16">
        <f t="shared" si="24"/>
        <v>0</v>
      </c>
      <c r="Y119" s="16">
        <f t="shared" si="24"/>
        <v>0</v>
      </c>
      <c r="Z119" s="37"/>
      <c r="AA119" s="11"/>
    </row>
    <row r="120" spans="1:27" s="2" customFormat="1" ht="30" hidden="1" x14ac:dyDescent="0.25">
      <c r="A120" s="42" t="s">
        <v>203</v>
      </c>
      <c r="B120" s="59">
        <v>3403</v>
      </c>
      <c r="C120" s="42" t="s">
        <v>121</v>
      </c>
      <c r="D120" s="43" t="s">
        <v>204</v>
      </c>
      <c r="E120" s="43" t="s">
        <v>351</v>
      </c>
      <c r="F120" s="95"/>
      <c r="G120" s="43"/>
      <c r="H120" s="5" t="s">
        <v>33</v>
      </c>
      <c r="I120" s="5" t="s">
        <v>35</v>
      </c>
      <c r="J120" s="5" t="s">
        <v>36</v>
      </c>
      <c r="K120" s="5" t="s">
        <v>35</v>
      </c>
      <c r="L120" s="5" t="s">
        <v>35</v>
      </c>
      <c r="M120" s="53">
        <v>5</v>
      </c>
      <c r="N120" s="43" t="s">
        <v>76</v>
      </c>
      <c r="O120" s="31"/>
      <c r="P120" s="49"/>
      <c r="Q120" s="50"/>
      <c r="R120" s="31">
        <f t="shared" si="25"/>
        <v>0</v>
      </c>
      <c r="S120" s="49">
        <f t="shared" si="26"/>
        <v>0</v>
      </c>
      <c r="T120" s="20">
        <f t="shared" si="21"/>
        <v>0</v>
      </c>
      <c r="U120" s="20">
        <f t="shared" si="22"/>
        <v>0</v>
      </c>
      <c r="V120" s="20">
        <f t="shared" si="27"/>
        <v>0</v>
      </c>
      <c r="W120" s="31">
        <f t="shared" si="24"/>
        <v>0</v>
      </c>
      <c r="X120" s="31">
        <f t="shared" si="24"/>
        <v>0</v>
      </c>
      <c r="Y120" s="31">
        <f t="shared" si="24"/>
        <v>0</v>
      </c>
      <c r="Z120" s="37"/>
      <c r="AA120" s="11"/>
    </row>
    <row r="121" spans="1:27" s="2" customFormat="1" ht="30" x14ac:dyDescent="0.25">
      <c r="A121" s="42" t="s">
        <v>90</v>
      </c>
      <c r="B121" s="59">
        <v>3333</v>
      </c>
      <c r="C121" s="42" t="s">
        <v>61</v>
      </c>
      <c r="D121" s="112" t="s">
        <v>264</v>
      </c>
      <c r="E121" s="44" t="s">
        <v>340</v>
      </c>
      <c r="F121" s="116">
        <v>20000</v>
      </c>
      <c r="G121" s="110" t="s">
        <v>253</v>
      </c>
      <c r="H121" s="55" t="s">
        <v>36</v>
      </c>
      <c r="I121" s="55" t="s">
        <v>35</v>
      </c>
      <c r="J121" s="55" t="s">
        <v>64</v>
      </c>
      <c r="K121" s="55" t="s">
        <v>35</v>
      </c>
      <c r="L121" s="55" t="s">
        <v>35</v>
      </c>
      <c r="M121" s="51">
        <v>24</v>
      </c>
      <c r="N121" s="43" t="s">
        <v>92</v>
      </c>
      <c r="O121" s="56">
        <v>2000000</v>
      </c>
      <c r="P121" s="104"/>
      <c r="Q121" s="103">
        <v>0.1</v>
      </c>
      <c r="R121" s="56">
        <f t="shared" si="25"/>
        <v>200000</v>
      </c>
      <c r="S121" s="104">
        <f t="shared" si="26"/>
        <v>0</v>
      </c>
      <c r="T121" s="19">
        <f>IF(H121="VL",0,IF(H121="L",0.1,IF(H121="M",0.25,IF(H121="H",0.75,IF(H121="VH",0.9,1)))))</f>
        <v>0.1</v>
      </c>
      <c r="U121" s="19">
        <f>IF(H121="VL",0.1,IF(H121="L",0.25,IF(H121="M",0.75,IF(H121="H",0.9,IF(H121="VH",1,1)))))</f>
        <v>0.25</v>
      </c>
      <c r="V121" s="114">
        <f t="shared" si="27"/>
        <v>4.3301270189221933E-2</v>
      </c>
      <c r="W121" s="113">
        <f>($O121*($Q121+$T121+$U121)/3 + $O121*($U121-$T121)/6*1.036)/1000</f>
        <v>351.8</v>
      </c>
      <c r="X121" s="113">
        <f>($O121*($Q121+$T121+$U121)/3 + $O121*($U121-$T121)/6*1.28)/1000</f>
        <v>364</v>
      </c>
      <c r="Y121" s="113">
        <f>($O121*($Q121+$T121+$U121)/3 + $O121*($U121-$T121)/6*1.64)/1000</f>
        <v>382</v>
      </c>
      <c r="Z121" s="37"/>
      <c r="AA121" s="11"/>
    </row>
    <row r="122" spans="1:27" s="2" customFormat="1" ht="30" x14ac:dyDescent="0.25">
      <c r="A122" s="118" t="s">
        <v>203</v>
      </c>
      <c r="B122" s="119">
        <v>3403</v>
      </c>
      <c r="C122" s="118" t="s">
        <v>121</v>
      </c>
      <c r="D122" s="131" t="s">
        <v>204</v>
      </c>
      <c r="E122" s="132" t="s">
        <v>351</v>
      </c>
      <c r="F122" s="133"/>
      <c r="G122" s="54" t="s">
        <v>253</v>
      </c>
      <c r="H122" s="121" t="s">
        <v>33</v>
      </c>
      <c r="I122" s="121" t="s">
        <v>35</v>
      </c>
      <c r="J122" s="121" t="s">
        <v>34</v>
      </c>
      <c r="K122" s="121" t="s">
        <v>35</v>
      </c>
      <c r="L122" s="121" t="s">
        <v>35</v>
      </c>
      <c r="M122" s="122">
        <v>24</v>
      </c>
      <c r="N122" s="120" t="s">
        <v>76</v>
      </c>
      <c r="O122" s="123">
        <v>-500000</v>
      </c>
      <c r="P122" s="124"/>
      <c r="Q122" s="125">
        <v>0.1</v>
      </c>
      <c r="R122" s="128">
        <f t="shared" si="25"/>
        <v>-50000</v>
      </c>
      <c r="S122" s="104">
        <f t="shared" si="26"/>
        <v>0</v>
      </c>
      <c r="T122" s="19">
        <f>IF(H122="VL",0,IF(H122="L",0.1,IF(H122="M",0.25,IF(H122="H",0.75,IF(H122="VH",0.9,1)))))</f>
        <v>0.25</v>
      </c>
      <c r="U122" s="19">
        <f>IF(H122="VL",0.1,IF(H122="L",0.25,IF(H122="M",0.75,IF(H122="H",0.9,IF(H122="VH",1,1)))))</f>
        <v>0.75</v>
      </c>
      <c r="V122" s="19">
        <f t="shared" si="27"/>
        <v>0.14433756729740646</v>
      </c>
      <c r="W122" s="113">
        <f>($O122*($Q122+$T122+$U122)/3 + $O122*($U122-$T122)/6*1.036)/1000</f>
        <v>-226.5</v>
      </c>
      <c r="X122" s="113">
        <f>($O122*($Q122+$T122+$U122)/3 + $O122*($U122-$T122)/6*1.28)/1000</f>
        <v>-236.66666666666669</v>
      </c>
      <c r="Y122" s="113">
        <f>($O122*($Q122+$T122+$U122)/3 + $O122*($U122-$T122)/6*1.64)/1000</f>
        <v>-251.66666666666669</v>
      </c>
      <c r="Z122" s="37"/>
      <c r="AA122" s="11"/>
    </row>
    <row r="124" spans="1:27" s="2" customFormat="1" ht="30" x14ac:dyDescent="0.25">
      <c r="A124" s="42" t="s">
        <v>180</v>
      </c>
      <c r="B124" s="59">
        <v>3346</v>
      </c>
      <c r="C124" s="42" t="s">
        <v>61</v>
      </c>
      <c r="D124" s="112" t="s">
        <v>181</v>
      </c>
      <c r="E124" s="44" t="s">
        <v>361</v>
      </c>
      <c r="F124" s="116"/>
      <c r="G124" s="110" t="s">
        <v>253</v>
      </c>
      <c r="H124" s="55" t="s">
        <v>36</v>
      </c>
      <c r="I124" s="55" t="s">
        <v>35</v>
      </c>
      <c r="J124" s="55" t="s">
        <v>35</v>
      </c>
      <c r="K124" s="55" t="s">
        <v>33</v>
      </c>
      <c r="L124" s="55" t="s">
        <v>35</v>
      </c>
      <c r="M124" s="52">
        <v>6</v>
      </c>
      <c r="N124" s="43" t="s">
        <v>2</v>
      </c>
      <c r="O124" s="56">
        <v>0</v>
      </c>
      <c r="P124" s="104"/>
      <c r="Q124" s="103">
        <v>0.17</v>
      </c>
      <c r="R124" s="56">
        <f>O124*Q124</f>
        <v>0</v>
      </c>
      <c r="S124" s="104">
        <f>P124*Q124</f>
        <v>0</v>
      </c>
      <c r="T124" s="19">
        <f>IF(H124="VL",0,IF(H124="L",0.1,IF(H124="M",0.25,IF(H124="H",0.75,IF(H124="VH",0.9,1)))))</f>
        <v>0.1</v>
      </c>
      <c r="U124" s="19">
        <f>IF(H124="VL",0.1,IF(H124="L",0.25,IF(H124="M",0.75,IF(H124="H",0.9,IF(H124="VH",1,1)))))</f>
        <v>0.25</v>
      </c>
      <c r="V124" s="114">
        <f>(U124-T124)/SQRT(12)</f>
        <v>4.3301270189221933E-2</v>
      </c>
      <c r="W124" s="113">
        <f>($O124*($Q124+$T124+$U124)/3 + $O124*($U124-$T124)/6*1.036)/1000</f>
        <v>0</v>
      </c>
      <c r="X124" s="113">
        <f>($O124*($Q124+$T124+$U124)/3 + $O124*($U124-$T124)/6*1.28)/1000</f>
        <v>0</v>
      </c>
      <c r="Y124" s="113">
        <f>($O124*($Q124+$T124+$U124)/3 + $O124*($U124-$T124)/6*1.64)/1000</f>
        <v>0</v>
      </c>
      <c r="Z124" s="37"/>
      <c r="AA124" s="11"/>
    </row>
    <row r="125" spans="1:27" x14ac:dyDescent="0.25">
      <c r="A125" s="147">
        <v>41905</v>
      </c>
      <c r="B125" s="148"/>
      <c r="C125" s="149"/>
      <c r="D125" s="149"/>
      <c r="E125" s="149"/>
      <c r="F125" s="149"/>
      <c r="G125" s="150"/>
      <c r="H125" s="148"/>
      <c r="I125" s="148"/>
      <c r="J125" s="148"/>
      <c r="K125" s="148"/>
      <c r="L125" s="148"/>
      <c r="M125" s="148"/>
      <c r="N125" s="150"/>
      <c r="O125" s="148"/>
      <c r="P125" s="148"/>
      <c r="Q125" s="148"/>
      <c r="R125" s="148"/>
      <c r="S125" s="148"/>
      <c r="T125" s="149"/>
      <c r="U125" s="149"/>
      <c r="V125" s="149"/>
      <c r="W125" s="149"/>
      <c r="X125" s="149"/>
      <c r="Y125" s="149"/>
      <c r="Z125" s="149"/>
      <c r="AA125" s="149"/>
    </row>
    <row r="126" spans="1:27" s="2" customFormat="1" ht="29.1" customHeight="1" x14ac:dyDescent="0.25">
      <c r="A126" s="42" t="s">
        <v>88</v>
      </c>
      <c r="B126" s="137">
        <v>3369</v>
      </c>
      <c r="C126" s="42" t="s">
        <v>61</v>
      </c>
      <c r="D126" s="151" t="s">
        <v>89</v>
      </c>
      <c r="E126" s="152" t="s">
        <v>347</v>
      </c>
      <c r="F126" s="153">
        <v>20000</v>
      </c>
      <c r="G126" s="110" t="s">
        <v>253</v>
      </c>
      <c r="H126" s="55" t="s">
        <v>36</v>
      </c>
      <c r="I126" s="55" t="s">
        <v>35</v>
      </c>
      <c r="J126" s="55" t="s">
        <v>33</v>
      </c>
      <c r="K126" s="55" t="s">
        <v>35</v>
      </c>
      <c r="L126" s="55" t="s">
        <v>35</v>
      </c>
      <c r="M126" s="146">
        <v>6</v>
      </c>
      <c r="N126" s="43" t="s">
        <v>71</v>
      </c>
      <c r="O126" s="106">
        <v>200000</v>
      </c>
      <c r="P126" s="107">
        <v>0</v>
      </c>
      <c r="Q126" s="108">
        <v>0.2</v>
      </c>
      <c r="R126" s="56">
        <f>O126*Q126</f>
        <v>40000</v>
      </c>
      <c r="S126" s="104">
        <f>P126*Q126</f>
        <v>0</v>
      </c>
      <c r="T126" s="130">
        <f>IF(H126="VL",0,IF(H126="L",0.1,IF(H126="M",0.25,IF(H126="H",0.75,IF(H126="VH",0.9,1)))))</f>
        <v>0.1</v>
      </c>
      <c r="U126" s="19">
        <f>IF(H126="VL",0.1,IF(H126="L",0.25,IF(H126="M",0.75,IF(H126="H",0.9,IF(H126="VH",1,1)))))</f>
        <v>0.25</v>
      </c>
      <c r="V126" s="114">
        <f>(U126-T126)/SQRT(12)</f>
        <v>4.3301270189221933E-2</v>
      </c>
      <c r="W126" s="113">
        <f>($O126*($Q126+$T126+$U126)/3 + $O126*($U126-$T126)/6*1.036)/1000</f>
        <v>41.846666666666671</v>
      </c>
      <c r="X126" s="113">
        <f>($O126*($Q126+$T126+$U126)/3 + $O126*($U126-$T126)/6*1.28)/1000</f>
        <v>43.06666666666667</v>
      </c>
      <c r="Y126" s="113">
        <f>($O126*($Q126+$T126+$U126)/3 + $O126*($U126-$T126)/6*1.64)/1000</f>
        <v>44.866666666666674</v>
      </c>
      <c r="Z126"/>
      <c r="AA126" s="11"/>
    </row>
    <row r="127" spans="1:27" s="2" customFormat="1" ht="30" x14ac:dyDescent="0.25">
      <c r="A127" s="42" t="s">
        <v>39</v>
      </c>
      <c r="B127" s="137">
        <v>3362</v>
      </c>
      <c r="C127" s="42" t="s">
        <v>61</v>
      </c>
      <c r="D127" s="54" t="s">
        <v>302</v>
      </c>
      <c r="E127" s="157" t="s">
        <v>313</v>
      </c>
      <c r="F127" s="117"/>
      <c r="G127" s="158" t="s">
        <v>253</v>
      </c>
      <c r="H127" s="55" t="s">
        <v>36</v>
      </c>
      <c r="I127" s="55" t="s">
        <v>34</v>
      </c>
      <c r="J127" s="55" t="s">
        <v>64</v>
      </c>
      <c r="K127" s="55" t="s">
        <v>35</v>
      </c>
      <c r="L127" s="55" t="s">
        <v>35</v>
      </c>
      <c r="M127" s="145">
        <v>24</v>
      </c>
      <c r="N127" s="43" t="s">
        <v>74</v>
      </c>
      <c r="O127" s="106">
        <v>500000</v>
      </c>
      <c r="P127" s="107">
        <v>120</v>
      </c>
      <c r="Q127" s="109">
        <v>0.1</v>
      </c>
      <c r="R127" s="56">
        <f>O127*Q127</f>
        <v>50000</v>
      </c>
      <c r="S127" s="104">
        <f>P127*Q127</f>
        <v>12</v>
      </c>
      <c r="T127" s="19">
        <f>IF(H127="VL",0,IF(H127="L",0.1,IF(H127="M",0.25,IF(H127="H",0.75,IF(H127="VH",0.9,1)))))</f>
        <v>0.1</v>
      </c>
      <c r="U127" s="19">
        <f>IF(H127="VL",0.1,IF(H127="L",0.25,IF(H127="M",0.75,IF(H127="H",0.9,IF(H127="VH",1,1)))))</f>
        <v>0.25</v>
      </c>
      <c r="V127" s="114">
        <f>(U127-T127)/SQRT(12)</f>
        <v>4.3301270189221933E-2</v>
      </c>
      <c r="W127" s="113">
        <f>($O127*($Q127+$T127+$U127)/3 + $O127*($U127-$T127)/6*1.036)/1000</f>
        <v>87.95</v>
      </c>
      <c r="X127" s="113">
        <f>($O127*($Q127+$T127+$U127)/3 + $O127*($U127-$T127)/6*1.28)/1000</f>
        <v>91</v>
      </c>
      <c r="Y127" s="113">
        <f>($O127*($Q127+$T127+$U127)/3 + $O127*($U127-$T127)/6*1.64)/1000</f>
        <v>95.5</v>
      </c>
      <c r="Z127"/>
      <c r="AA127" s="11"/>
    </row>
    <row r="128" spans="1:27" x14ac:dyDescent="0.25">
      <c r="A128" s="147">
        <v>41911</v>
      </c>
      <c r="B128" s="148"/>
      <c r="C128" s="149"/>
      <c r="D128" s="149"/>
      <c r="E128" s="149"/>
      <c r="F128" s="149"/>
      <c r="G128" s="150"/>
      <c r="H128" s="148"/>
      <c r="I128" s="148"/>
      <c r="J128" s="148"/>
      <c r="K128" s="148"/>
      <c r="L128" s="148"/>
      <c r="M128" s="148"/>
      <c r="N128" s="150"/>
      <c r="O128" s="148"/>
      <c r="P128" s="148"/>
      <c r="Q128" s="148"/>
      <c r="R128" s="148"/>
      <c r="S128" s="148"/>
      <c r="T128" s="149"/>
      <c r="U128" s="149"/>
      <c r="V128" s="149"/>
      <c r="W128" s="149"/>
      <c r="X128" s="149"/>
      <c r="Y128" s="149"/>
      <c r="Z128" s="149"/>
      <c r="AA128" s="149"/>
    </row>
    <row r="129" spans="1:27" s="2" customFormat="1" ht="60" x14ac:dyDescent="0.25">
      <c r="A129" s="42" t="s">
        <v>246</v>
      </c>
      <c r="B129" s="137">
        <v>3832</v>
      </c>
      <c r="C129" s="42" t="s">
        <v>61</v>
      </c>
      <c r="D129" s="111" t="s">
        <v>247</v>
      </c>
      <c r="E129" s="156" t="s">
        <v>362</v>
      </c>
      <c r="F129" s="115"/>
      <c r="G129" s="159" t="s">
        <v>253</v>
      </c>
      <c r="H129" s="55" t="s">
        <v>36</v>
      </c>
      <c r="I129" s="55" t="s">
        <v>35</v>
      </c>
      <c r="J129" s="55" t="s">
        <v>34</v>
      </c>
      <c r="K129" s="55" t="s">
        <v>33</v>
      </c>
      <c r="L129" s="55" t="s">
        <v>35</v>
      </c>
      <c r="M129" s="146">
        <v>12</v>
      </c>
      <c r="N129" s="43" t="s">
        <v>79</v>
      </c>
      <c r="O129" s="56">
        <v>400000</v>
      </c>
      <c r="P129" s="104"/>
      <c r="Q129" s="105">
        <v>0.2</v>
      </c>
      <c r="R129" s="56">
        <f>O129*Q129</f>
        <v>80000</v>
      </c>
      <c r="S129" s="104">
        <f>P129*Q129</f>
        <v>0</v>
      </c>
      <c r="T129" s="141">
        <f>IF(H129="VL",0,IF(H129="L",0.1,IF(H129="M",0.25,IF(H129="H",0.75,IF(H129="VH",0.9,1)))))</f>
        <v>0.1</v>
      </c>
      <c r="U129" s="19">
        <f>IF(H129="VL",0.1,IF(H129="L",0.25,IF(H129="M",0.75,IF(H129="H",0.9,IF(H129="VH",1,1)))))</f>
        <v>0.25</v>
      </c>
      <c r="V129" s="114">
        <f>(U129-T129)/SQRT(12)</f>
        <v>4.3301270189221933E-2</v>
      </c>
      <c r="W129" s="113">
        <f>($O129*($Q129+$T129+$U129)/3 + $O129*($U129-$T129)/6*1.036)/1000</f>
        <v>83.693333333333342</v>
      </c>
      <c r="X129" s="113">
        <f>($O129*($Q129+$T129+$U129)/3 + $O129*($U129-$T129)/6*1.28)/1000</f>
        <v>86.13333333333334</v>
      </c>
      <c r="Y129" s="113">
        <f>($O129*($Q129+$T129+$U129)/3 + $O129*($U129-$T129)/6*1.64)/1000</f>
        <v>89.733333333333348</v>
      </c>
      <c r="Z129"/>
      <c r="AA129" s="11"/>
    </row>
    <row r="130" spans="1:27" s="2" customFormat="1" ht="45" x14ac:dyDescent="0.25">
      <c r="A130" s="42" t="s">
        <v>189</v>
      </c>
      <c r="B130" s="137">
        <v>3352</v>
      </c>
      <c r="C130" s="42" t="s">
        <v>61</v>
      </c>
      <c r="D130" s="140" t="s">
        <v>190</v>
      </c>
      <c r="E130" s="156" t="s">
        <v>313</v>
      </c>
      <c r="F130" s="115"/>
      <c r="G130" s="159" t="s">
        <v>253</v>
      </c>
      <c r="H130" s="55" t="s">
        <v>36</v>
      </c>
      <c r="I130" s="55" t="s">
        <v>35</v>
      </c>
      <c r="J130" s="55" t="s">
        <v>64</v>
      </c>
      <c r="K130" s="55" t="s">
        <v>35</v>
      </c>
      <c r="L130" s="55" t="s">
        <v>35</v>
      </c>
      <c r="M130" s="145">
        <v>24</v>
      </c>
      <c r="N130" s="43" t="s">
        <v>130</v>
      </c>
      <c r="O130" s="106">
        <v>1200000</v>
      </c>
      <c r="P130" s="107"/>
      <c r="Q130" s="109">
        <v>0.1</v>
      </c>
      <c r="R130" s="56">
        <f>O130*Q130</f>
        <v>120000</v>
      </c>
      <c r="S130" s="104">
        <f>P130*Q130</f>
        <v>0</v>
      </c>
      <c r="T130" s="19">
        <f>IF(H130="VL",0,IF(H130="L",0.1,IF(H130="M",0.25,IF(H130="H",0.75,IF(H130="VH",0.9,1)))))</f>
        <v>0.1</v>
      </c>
      <c r="U130" s="19">
        <f>IF(H130="VL",0.1,IF(H130="L",0.25,IF(H130="M",0.75,IF(H130="H",0.9,IF(H130="VH",1,1)))))</f>
        <v>0.25</v>
      </c>
      <c r="V130" s="114">
        <f>(U130-T130)/SQRT(12)</f>
        <v>4.3301270189221933E-2</v>
      </c>
      <c r="W130" s="113">
        <f>($O130*($Q130+$T130+$U130)/3 + $O130*($U130-$T130)/6*0.84162)/1000</f>
        <v>205.24860000000001</v>
      </c>
      <c r="X130" s="113">
        <f>($O130*($Q130+$T130+$U130)/3 + $O130*($U130-$T130)/6*1.036)/1000</f>
        <v>211.08</v>
      </c>
      <c r="Y130" s="113">
        <f>($O130*($Q130+$T130+$U130)/3 + $O130*($U130-$T130)/6*1.28)/1000</f>
        <v>218.4</v>
      </c>
      <c r="Z130"/>
      <c r="AA130" s="11"/>
    </row>
    <row r="131" spans="1:27" x14ac:dyDescent="0.25">
      <c r="A131" s="267">
        <v>41983</v>
      </c>
      <c r="B131" s="268"/>
      <c r="C131" s="269"/>
      <c r="D131" s="269"/>
      <c r="E131" s="269"/>
      <c r="F131" s="269"/>
      <c r="G131" s="270"/>
      <c r="H131" s="268"/>
      <c r="I131" s="268"/>
      <c r="J131" s="268"/>
      <c r="K131" s="268"/>
      <c r="L131" s="268"/>
      <c r="M131" s="268"/>
      <c r="N131" s="270"/>
      <c r="O131" s="268"/>
      <c r="P131" s="268"/>
      <c r="Q131" s="268"/>
      <c r="R131" s="268"/>
      <c r="S131" s="268"/>
      <c r="T131" s="269"/>
      <c r="U131" s="269"/>
      <c r="V131" s="269"/>
      <c r="W131" s="269"/>
      <c r="X131" s="269"/>
      <c r="Y131" s="269"/>
      <c r="Z131" s="269"/>
      <c r="AA131" s="269"/>
    </row>
    <row r="132" spans="1:27" s="2" customFormat="1" ht="75" x14ac:dyDescent="0.25">
      <c r="A132" s="182" t="s">
        <v>435</v>
      </c>
      <c r="B132" s="271">
        <v>4425</v>
      </c>
      <c r="C132" s="184" t="s">
        <v>61</v>
      </c>
      <c r="D132" s="215" t="s">
        <v>436</v>
      </c>
      <c r="E132" s="184" t="s">
        <v>350</v>
      </c>
      <c r="F132" s="186"/>
      <c r="G132" s="265" t="s">
        <v>253</v>
      </c>
      <c r="H132" s="184" t="s">
        <v>36</v>
      </c>
      <c r="I132" s="184" t="s">
        <v>33</v>
      </c>
      <c r="J132" s="184" t="s">
        <v>33</v>
      </c>
      <c r="K132" s="184" t="s">
        <v>33</v>
      </c>
      <c r="L132" s="184" t="s">
        <v>155</v>
      </c>
      <c r="M132" s="202" t="s">
        <v>33</v>
      </c>
      <c r="N132" s="184" t="s">
        <v>130</v>
      </c>
      <c r="O132" s="211">
        <v>276000</v>
      </c>
      <c r="P132" s="187">
        <v>140</v>
      </c>
      <c r="Q132" s="205">
        <v>0.1</v>
      </c>
      <c r="R132" s="197">
        <f>O132*Q132</f>
        <v>27600</v>
      </c>
      <c r="S132" s="182">
        <f>P132*Q132</f>
        <v>14</v>
      </c>
      <c r="T132" s="193">
        <f>IF(H132="VL",0,IF(H132="L",0.1,IF(H132="M",0.25,IF(H132="H",0.75,IF(H132="VH",0.9,1)))))</f>
        <v>0.1</v>
      </c>
      <c r="U132" s="193">
        <f>IF(H132="VL",0.1,IF(H132="L",0.25,IF(H132="M",0.75,IF(H132="H",0.9,IF(H132="VH",1,1)))))</f>
        <v>0.25</v>
      </c>
      <c r="V132" s="193">
        <f>(U132-T132)/SQRT(12)</f>
        <v>4.3301270189221933E-2</v>
      </c>
      <c r="W132" s="195">
        <f>($O132*($Q132+$T132+$U132)/3 + $O132*($U132-$T132)/6*0.84162)/1000</f>
        <v>47.207177999999999</v>
      </c>
      <c r="X132" s="195">
        <f>($O132*($Q132+$T132+$U132)/3 + $O132*($U132-$T132)/6*1.036)/1000</f>
        <v>48.548400000000001</v>
      </c>
      <c r="Y132" s="195">
        <f>($O132*($Q132+$T132+$U132)/3 + $O132*($U132-$T132)/6*1.28)/1000</f>
        <v>50.231999999999999</v>
      </c>
      <c r="Z132" s="214">
        <f>SUM(W132:W132)</f>
        <v>47.207177999999999</v>
      </c>
      <c r="AA132" s="11"/>
    </row>
    <row r="133" spans="1:27" x14ac:dyDescent="0.25">
      <c r="A133" s="267">
        <v>42167</v>
      </c>
      <c r="B133" s="268"/>
      <c r="C133" s="269"/>
      <c r="D133" s="269"/>
      <c r="E133" s="269"/>
      <c r="F133" s="269"/>
      <c r="G133" s="270"/>
      <c r="H133" s="268"/>
      <c r="I133" s="268"/>
      <c r="J133" s="268"/>
      <c r="K133" s="268"/>
      <c r="L133" s="268"/>
      <c r="M133" s="268"/>
      <c r="N133" s="270"/>
      <c r="O133" s="268"/>
      <c r="P133" s="268"/>
      <c r="Q133" s="268"/>
      <c r="R133" s="268"/>
      <c r="S133" s="268"/>
      <c r="T133" s="269"/>
      <c r="U133" s="269"/>
      <c r="V133" s="269"/>
      <c r="W133" s="269"/>
      <c r="X133" s="269"/>
      <c r="Y133" s="269"/>
      <c r="Z133" s="269"/>
      <c r="AA133" s="269"/>
    </row>
    <row r="134" spans="1:27" s="2" customFormat="1" ht="30" x14ac:dyDescent="0.25">
      <c r="A134" s="182" t="s">
        <v>90</v>
      </c>
      <c r="B134" s="183">
        <v>3333</v>
      </c>
      <c r="C134" s="184" t="s">
        <v>61</v>
      </c>
      <c r="D134" s="185" t="s">
        <v>91</v>
      </c>
      <c r="E134" s="187" t="s">
        <v>514</v>
      </c>
      <c r="F134" s="199"/>
      <c r="G134" s="265" t="s">
        <v>253</v>
      </c>
      <c r="H134" s="184" t="s">
        <v>155</v>
      </c>
      <c r="I134" s="184" t="s">
        <v>35</v>
      </c>
      <c r="J134" s="184" t="s">
        <v>64</v>
      </c>
      <c r="K134" s="184" t="s">
        <v>35</v>
      </c>
      <c r="L134" s="184" t="s">
        <v>35</v>
      </c>
      <c r="M134" s="196" t="s">
        <v>34</v>
      </c>
      <c r="N134" s="184" t="s">
        <v>92</v>
      </c>
      <c r="O134" s="197">
        <v>2000000</v>
      </c>
      <c r="P134" s="182"/>
      <c r="Q134" s="200">
        <v>0.02</v>
      </c>
      <c r="R134" s="197">
        <f>O134*Q134</f>
        <v>40000</v>
      </c>
      <c r="S134" s="182">
        <f>P134*Q134</f>
        <v>0</v>
      </c>
      <c r="T134" s="193">
        <f>IF(H134="VL",0,IF(H134="L",0.1,IF(H134="M",0.25,IF(H134="H",0.75,IF(H134="VH",0.9,1)))))</f>
        <v>0</v>
      </c>
      <c r="U134" s="193">
        <f>IF(H134="VL",0.1,IF(H134="L",0.25,IF(H134="M",0.75,IF(H134="H",0.9,IF(H134="VH",1,1)))))</f>
        <v>0.1</v>
      </c>
      <c r="V134" s="194">
        <f>(U134-T134)/SQRT(12)</f>
        <v>2.8867513459481291E-2</v>
      </c>
      <c r="W134" s="195">
        <f>($O134*($Q134+$T134+$U134)/3 + $O134*($U134-$T134)/6*0.84162)/1000</f>
        <v>108.05400000000002</v>
      </c>
      <c r="X134" s="195">
        <f>($O134*($Q134+$T134+$U134)/3 + $O134*($U134-$T134)/6*1.036)/1000</f>
        <v>114.53333333333335</v>
      </c>
      <c r="Y134" s="195">
        <f>($O134*($Q134+$T134+$U134)/3 + $O134*($U134-$T134)/6*1.28)/1000</f>
        <v>122.66666666666669</v>
      </c>
      <c r="Z134" s="168"/>
      <c r="AA134" s="11"/>
    </row>
    <row r="135" spans="1:27" x14ac:dyDescent="0.25">
      <c r="A135" s="267">
        <v>42258</v>
      </c>
      <c r="B135" s="268"/>
      <c r="C135" s="269"/>
      <c r="D135" s="269"/>
      <c r="E135" s="269"/>
      <c r="F135" s="269"/>
      <c r="G135" s="270"/>
      <c r="H135" s="268"/>
      <c r="I135" s="268"/>
      <c r="J135" s="268"/>
      <c r="K135" s="268"/>
      <c r="L135" s="268"/>
      <c r="M135" s="268"/>
      <c r="N135" s="270"/>
      <c r="O135" s="268"/>
      <c r="P135" s="268"/>
      <c r="Q135" s="268"/>
      <c r="R135" s="268"/>
      <c r="S135" s="268"/>
      <c r="T135" s="269"/>
      <c r="U135" s="269"/>
      <c r="V135" s="269"/>
      <c r="W135" s="269"/>
      <c r="X135" s="269"/>
      <c r="Y135" s="269"/>
      <c r="Z135" s="269"/>
      <c r="AA135" s="269"/>
    </row>
    <row r="136" spans="1:27" s="2" customFormat="1" ht="30" x14ac:dyDescent="0.25">
      <c r="A136" s="223" t="s">
        <v>456</v>
      </c>
      <c r="B136" s="285">
        <v>5038</v>
      </c>
      <c r="C136" s="187" t="s">
        <v>61</v>
      </c>
      <c r="D136" s="230" t="s">
        <v>515</v>
      </c>
      <c r="E136" s="226" t="s">
        <v>350</v>
      </c>
      <c r="F136" s="226"/>
      <c r="G136" s="184" t="s">
        <v>374</v>
      </c>
      <c r="H136" s="227" t="s">
        <v>36</v>
      </c>
      <c r="I136" s="227" t="s">
        <v>36</v>
      </c>
      <c r="J136" s="227" t="s">
        <v>33</v>
      </c>
      <c r="K136" s="227" t="s">
        <v>35</v>
      </c>
      <c r="L136" s="227" t="s">
        <v>35</v>
      </c>
      <c r="M136" s="284"/>
      <c r="N136" s="184" t="s">
        <v>459</v>
      </c>
      <c r="O136" s="232">
        <v>100000</v>
      </c>
      <c r="P136" s="226">
        <v>60</v>
      </c>
      <c r="Q136" s="241">
        <v>0.1</v>
      </c>
      <c r="R136" s="197">
        <f>O136*Q136</f>
        <v>10000</v>
      </c>
      <c r="S136" s="182">
        <f>P136*Q136</f>
        <v>6</v>
      </c>
      <c r="T136" s="193">
        <f>IF(H136="VL",0,IF(H136="L",0.1,IF(H136="M",0.25,IF(H136="H",0.75,IF(H136="VH",0.9,1)))))</f>
        <v>0.1</v>
      </c>
      <c r="U136" s="193">
        <f>IF(H136="VL",0.1,IF(H136="L",0.25,IF(H136="M",0.75,IF(H136="H",0.9,IF(H136="VH",1,1)))))</f>
        <v>0.25</v>
      </c>
      <c r="V136" s="194">
        <f>(U136-T136)/SQRT(12)</f>
        <v>4.3301270189221933E-2</v>
      </c>
      <c r="W136" s="195">
        <f>($O136*($Q136+$T136+$U136)/3 + $O136*($U136-$T136)/6*0.84162)/1000</f>
        <v>17.104050000000001</v>
      </c>
      <c r="X136" s="195">
        <f>($O136*($Q136+$T136+$U136)/3 + $O136*($U136-$T136)/6*1.036)/1000</f>
        <v>17.59</v>
      </c>
      <c r="Y136" s="195">
        <f>($O136*($Q136+$T136+$U136)/3 + $O136*($U136-$T136)/6*1.28)/1000</f>
        <v>18.2</v>
      </c>
      <c r="Z136" s="209">
        <f>SUM(W136:W136)</f>
        <v>17.104050000000001</v>
      </c>
      <c r="AA136" s="11"/>
    </row>
    <row r="137" spans="1:27" s="2" customFormat="1" ht="30" x14ac:dyDescent="0.25">
      <c r="A137" s="182" t="s">
        <v>6</v>
      </c>
      <c r="B137" s="183">
        <v>3392</v>
      </c>
      <c r="C137" s="184" t="s">
        <v>61</v>
      </c>
      <c r="D137" s="215" t="s">
        <v>7</v>
      </c>
      <c r="E137" s="187" t="s">
        <v>523</v>
      </c>
      <c r="F137" s="186">
        <v>5000</v>
      </c>
      <c r="G137" s="184" t="s">
        <v>374</v>
      </c>
      <c r="H137" s="184" t="s">
        <v>36</v>
      </c>
      <c r="I137" s="184" t="s">
        <v>155</v>
      </c>
      <c r="J137" s="184" t="s">
        <v>155</v>
      </c>
      <c r="K137" s="184" t="s">
        <v>34</v>
      </c>
      <c r="L137" s="184" t="s">
        <v>35</v>
      </c>
      <c r="M137" s="206" t="s">
        <v>33</v>
      </c>
      <c r="N137" s="184" t="s">
        <v>8</v>
      </c>
      <c r="O137" s="211">
        <v>50000</v>
      </c>
      <c r="P137" s="187">
        <v>30</v>
      </c>
      <c r="Q137" s="246">
        <v>0.1</v>
      </c>
      <c r="R137" s="197">
        <f>O137*Q137</f>
        <v>5000</v>
      </c>
      <c r="S137" s="182">
        <f>P137*Q137</f>
        <v>3</v>
      </c>
      <c r="T137" s="193">
        <f>IF(H137="VL",0,IF(H137="L",0.1,IF(H137="M",0.25,IF(H137="H",0.75,IF(H137="VH",0.9,1)))))</f>
        <v>0.1</v>
      </c>
      <c r="U137" s="193">
        <f>IF(H137="VL",0.1,IF(H137="L",0.25,IF(H137="M",0.75,IF(H137="H",0.9,IF(H137="VH",1,1)))))</f>
        <v>0.25</v>
      </c>
      <c r="V137" s="194">
        <f>(U137-T137)/SQRT(12)</f>
        <v>4.3301270189221933E-2</v>
      </c>
      <c r="W137" s="195">
        <f>($O137*($Q137+$T137+$U137)/3 + $O137*($U137-$T137)/6*0.84162)/1000</f>
        <v>8.5520250000000004</v>
      </c>
      <c r="X137" s="195">
        <f>($O137*($Q137+$T137+$U137)/3 + $O137*($U137-$T137)/6*1.036)/1000</f>
        <v>8.7949999999999999</v>
      </c>
      <c r="Y137" s="195">
        <f>($O137*($Q137+$T137+$U137)/3 + $O137*($U137-$T137)/6*1.28)/1000</f>
        <v>9.1</v>
      </c>
      <c r="Z137" s="168"/>
      <c r="AA137" s="11"/>
    </row>
  </sheetData>
  <customSheetViews>
    <customSheetView guid="{8AF944F7-C3D1-6E48-8544-F246EE5D8D9B}" scale="150" fitToPage="1" hiddenRows="1" topLeftCell="F3">
      <pane ySplit="11" topLeftCell="A115" activePane="bottomLeft" state="frozenSplit"/>
      <selection pane="bottomLeft" activeCell="O117" sqref="O117"/>
      <pageMargins left="0.7" right="0.7" top="0.75" bottom="0.75" header="0.3" footer="0.3"/>
      <pageSetup scale="26" orientation="portrait"/>
      <headerFooter>
        <oddFooter>&amp;C&amp;P of &amp;N</oddFooter>
      </headerFooter>
    </customSheetView>
    <customSheetView guid="{2B075AC7-DBBC-D945-A93B-024C897F18C8}" scale="150" showPageBreaks="1" fitToPage="1" printArea="1" hiddenRows="1" topLeftCell="A3">
      <pane ySplit="11" topLeftCell="A127" activePane="bottomLeft" state="frozenSplit"/>
      <selection pane="bottomLeft" activeCell="A132" sqref="A132"/>
      <pageMargins left="0.7" right="0.7" top="0.75" bottom="0.75" header="0.3" footer="0.3"/>
      <headerFooter>
        <oddFooter>&amp;C&amp;P of &amp;N</oddFooter>
      </headerFooter>
    </customSheetView>
    <customSheetView guid="{7D136558-6337-4481-BB09-697594446B4E}" scale="150" showPageBreaks="1" fitToPage="1" printArea="1" hiddenRows="1" topLeftCell="F3">
      <pane ySplit="11" topLeftCell="A115" activePane="bottomLeft" state="frozenSplit"/>
      <selection pane="bottomLeft" activeCell="O117" sqref="O117"/>
      <pageMargins left="0.7" right="0.7" top="0.75" bottom="0.75" header="0.3" footer="0.3"/>
      <pageSetup scale="26" orientation="portrait"/>
      <headerFooter>
        <oddFooter>&amp;C&amp;P of &amp;N</oddFooter>
      </headerFooter>
    </customSheetView>
  </customSheetViews>
  <mergeCells count="4">
    <mergeCell ref="A4:D4"/>
    <mergeCell ref="H4:M4"/>
    <mergeCell ref="T4:Y4"/>
    <mergeCell ref="T5:U5"/>
  </mergeCells>
  <phoneticPr fontId="21" type="noConversion"/>
  <conditionalFormatting sqref="T6:V59 T65:V87 T89:V120">
    <cfRule type="cellIs" dxfId="147" priority="93" operator="greaterThan">
      <formula>1</formula>
    </cfRule>
    <cfRule type="cellIs" dxfId="146" priority="94" operator="lessThan">
      <formula>0</formula>
    </cfRule>
  </conditionalFormatting>
  <conditionalFormatting sqref="T6:U59 T65:U87 T89:U120">
    <cfRule type="cellIs" dxfId="145" priority="91" operator="equal">
      <formula>1</formula>
    </cfRule>
    <cfRule type="cellIs" dxfId="144" priority="92" operator="equal">
      <formula>0</formula>
    </cfRule>
  </conditionalFormatting>
  <conditionalFormatting sqref="C6:C87 C89:C120">
    <cfRule type="cellIs" dxfId="143" priority="89" stopIfTrue="1" operator="equal">
      <formula>"Threat"</formula>
    </cfRule>
    <cfRule type="cellIs" dxfId="142" priority="90" stopIfTrue="1" operator="equal">
      <formula>"Opportunity"</formula>
    </cfRule>
  </conditionalFormatting>
  <conditionalFormatting sqref="T60:V63">
    <cfRule type="cellIs" dxfId="141" priority="87" operator="greaterThan">
      <formula>1</formula>
    </cfRule>
    <cfRule type="cellIs" dxfId="140" priority="88" operator="lessThan">
      <formula>0</formula>
    </cfRule>
  </conditionalFormatting>
  <conditionalFormatting sqref="T60:U63">
    <cfRule type="cellIs" dxfId="139" priority="85" operator="equal">
      <formula>1</formula>
    </cfRule>
    <cfRule type="cellIs" dxfId="138" priority="86" operator="equal">
      <formula>0</formula>
    </cfRule>
  </conditionalFormatting>
  <conditionalFormatting sqref="T64:U64">
    <cfRule type="cellIs" dxfId="137" priority="81" operator="equal">
      <formula>1</formula>
    </cfRule>
    <cfRule type="cellIs" dxfId="136" priority="82" operator="equal">
      <formula>0</formula>
    </cfRule>
  </conditionalFormatting>
  <conditionalFormatting sqref="T64:V64">
    <cfRule type="cellIs" dxfId="135" priority="83" operator="greaterThan">
      <formula>1</formula>
    </cfRule>
    <cfRule type="cellIs" dxfId="134" priority="84" operator="lessThan">
      <formula>0</formula>
    </cfRule>
  </conditionalFormatting>
  <conditionalFormatting sqref="U122">
    <cfRule type="cellIs" dxfId="133" priority="57" operator="equal">
      <formula>1</formula>
    </cfRule>
    <cfRule type="cellIs" dxfId="132" priority="58" operator="equal">
      <formula>0</formula>
    </cfRule>
  </conditionalFormatting>
  <conditionalFormatting sqref="V121">
    <cfRule type="cellIs" dxfId="131" priority="79" operator="greaterThan">
      <formula>1</formula>
    </cfRule>
    <cfRule type="cellIs" dxfId="130" priority="80" operator="lessThan">
      <formula>0</formula>
    </cfRule>
  </conditionalFormatting>
  <conditionalFormatting sqref="C121">
    <cfRule type="cellIs" dxfId="129" priority="77" stopIfTrue="1" operator="equal">
      <formula>"Threat"</formula>
    </cfRule>
    <cfRule type="cellIs" dxfId="128" priority="78" stopIfTrue="1" operator="equal">
      <formula>"Opportunity"</formula>
    </cfRule>
  </conditionalFormatting>
  <conditionalFormatting sqref="T121">
    <cfRule type="cellIs" dxfId="127" priority="75" operator="greaterThan">
      <formula>1</formula>
    </cfRule>
    <cfRule type="cellIs" dxfId="126" priority="76" operator="lessThan">
      <formula>0</formula>
    </cfRule>
  </conditionalFormatting>
  <conditionalFormatting sqref="T121">
    <cfRule type="cellIs" dxfId="125" priority="73" operator="equal">
      <formula>1</formula>
    </cfRule>
    <cfRule type="cellIs" dxfId="124" priority="74" operator="equal">
      <formula>0</formula>
    </cfRule>
  </conditionalFormatting>
  <conditionalFormatting sqref="U121">
    <cfRule type="cellIs" dxfId="123" priority="71" operator="greaterThan">
      <formula>1</formula>
    </cfRule>
    <cfRule type="cellIs" dxfId="122" priority="72" operator="lessThan">
      <formula>0</formula>
    </cfRule>
  </conditionalFormatting>
  <conditionalFormatting sqref="U121">
    <cfRule type="cellIs" dxfId="121" priority="69" operator="equal">
      <formula>1</formula>
    </cfRule>
    <cfRule type="cellIs" dxfId="120" priority="70" operator="equal">
      <formula>0</formula>
    </cfRule>
  </conditionalFormatting>
  <conditionalFormatting sqref="V122">
    <cfRule type="cellIs" dxfId="119" priority="67" operator="greaterThan">
      <formula>1</formula>
    </cfRule>
    <cfRule type="cellIs" dxfId="118" priority="68" operator="lessThan">
      <formula>0</formula>
    </cfRule>
  </conditionalFormatting>
  <conditionalFormatting sqref="C122">
    <cfRule type="cellIs" dxfId="117" priority="65" stopIfTrue="1" operator="equal">
      <formula>"Threat"</formula>
    </cfRule>
    <cfRule type="cellIs" dxfId="116" priority="66" stopIfTrue="1" operator="equal">
      <formula>"Opportunity"</formula>
    </cfRule>
  </conditionalFormatting>
  <conditionalFormatting sqref="T122">
    <cfRule type="cellIs" dxfId="115" priority="63" operator="greaterThan">
      <formula>1</formula>
    </cfRule>
    <cfRule type="cellIs" dxfId="114" priority="64" operator="lessThan">
      <formula>0</formula>
    </cfRule>
  </conditionalFormatting>
  <conditionalFormatting sqref="T122">
    <cfRule type="cellIs" dxfId="113" priority="61" operator="equal">
      <formula>1</formula>
    </cfRule>
    <cfRule type="cellIs" dxfId="112" priority="62" operator="equal">
      <formula>0</formula>
    </cfRule>
  </conditionalFormatting>
  <conditionalFormatting sqref="U122">
    <cfRule type="cellIs" dxfId="111" priority="59" operator="greaterThan">
      <formula>1</formula>
    </cfRule>
    <cfRule type="cellIs" dxfId="110" priority="60" operator="lessThan">
      <formula>0</formula>
    </cfRule>
  </conditionalFormatting>
  <conditionalFormatting sqref="V124">
    <cfRule type="cellIs" dxfId="109" priority="43" operator="greaterThan">
      <formula>1</formula>
    </cfRule>
    <cfRule type="cellIs" dxfId="108" priority="44" operator="lessThan">
      <formula>0</formula>
    </cfRule>
  </conditionalFormatting>
  <conditionalFormatting sqref="C124">
    <cfRule type="cellIs" dxfId="107" priority="41" stopIfTrue="1" operator="equal">
      <formula>"Threat"</formula>
    </cfRule>
    <cfRule type="cellIs" dxfId="106" priority="42" stopIfTrue="1" operator="equal">
      <formula>"Opportunity"</formula>
    </cfRule>
  </conditionalFormatting>
  <conditionalFormatting sqref="T124">
    <cfRule type="cellIs" dxfId="105" priority="39" operator="greaterThan">
      <formula>1</formula>
    </cfRule>
    <cfRule type="cellIs" dxfId="104" priority="40" operator="lessThan">
      <formula>0</formula>
    </cfRule>
  </conditionalFormatting>
  <conditionalFormatting sqref="T124">
    <cfRule type="cellIs" dxfId="103" priority="37" operator="equal">
      <formula>1</formula>
    </cfRule>
    <cfRule type="cellIs" dxfId="102" priority="38" operator="equal">
      <formula>0</formula>
    </cfRule>
  </conditionalFormatting>
  <conditionalFormatting sqref="U124">
    <cfRule type="cellIs" dxfId="101" priority="35" operator="greaterThan">
      <formula>1</formula>
    </cfRule>
    <cfRule type="cellIs" dxfId="100" priority="36" operator="lessThan">
      <formula>0</formula>
    </cfRule>
  </conditionalFormatting>
  <conditionalFormatting sqref="U124">
    <cfRule type="cellIs" dxfId="99" priority="33" operator="equal">
      <formula>1</formula>
    </cfRule>
    <cfRule type="cellIs" dxfId="98" priority="34" operator="equal">
      <formula>0</formula>
    </cfRule>
  </conditionalFormatting>
  <conditionalFormatting sqref="C126">
    <cfRule type="cellIs" dxfId="97" priority="27" stopIfTrue="1" operator="equal">
      <formula>"Threat"</formula>
    </cfRule>
    <cfRule type="cellIs" dxfId="96" priority="28" stopIfTrue="1" operator="equal">
      <formula>"Opportunity"</formula>
    </cfRule>
  </conditionalFormatting>
  <conditionalFormatting sqref="T126:V126">
    <cfRule type="cellIs" dxfId="95" priority="31" operator="greaterThan">
      <formula>1</formula>
    </cfRule>
    <cfRule type="cellIs" dxfId="94" priority="32" operator="lessThan">
      <formula>0</formula>
    </cfRule>
  </conditionalFormatting>
  <conditionalFormatting sqref="T126:U126">
    <cfRule type="cellIs" dxfId="93" priority="29" operator="equal">
      <formula>1</formula>
    </cfRule>
    <cfRule type="cellIs" dxfId="92" priority="30" operator="equal">
      <formula>0</formula>
    </cfRule>
  </conditionalFormatting>
  <conditionalFormatting sqref="T127:V127">
    <cfRule type="cellIs" dxfId="91" priority="25" operator="greaterThan">
      <formula>1</formula>
    </cfRule>
    <cfRule type="cellIs" dxfId="90" priority="26" operator="lessThan">
      <formula>0</formula>
    </cfRule>
  </conditionalFormatting>
  <conditionalFormatting sqref="T127:U127">
    <cfRule type="cellIs" dxfId="89" priority="23" operator="equal">
      <formula>1</formula>
    </cfRule>
    <cfRule type="cellIs" dxfId="88" priority="24" operator="equal">
      <formula>0</formula>
    </cfRule>
  </conditionalFormatting>
  <conditionalFormatting sqref="C127">
    <cfRule type="cellIs" dxfId="87" priority="21" stopIfTrue="1" operator="equal">
      <formula>"Threat"</formula>
    </cfRule>
    <cfRule type="cellIs" dxfId="86" priority="22" stopIfTrue="1" operator="equal">
      <formula>"Opportunity"</formula>
    </cfRule>
  </conditionalFormatting>
  <conditionalFormatting sqref="U129:V129">
    <cfRule type="cellIs" dxfId="85" priority="19" operator="greaterThan">
      <formula>1</formula>
    </cfRule>
    <cfRule type="cellIs" dxfId="84" priority="20" operator="lessThan">
      <formula>0</formula>
    </cfRule>
  </conditionalFormatting>
  <conditionalFormatting sqref="U129">
    <cfRule type="cellIs" dxfId="83" priority="17" operator="equal">
      <formula>1</formula>
    </cfRule>
    <cfRule type="cellIs" dxfId="82" priority="18" operator="equal">
      <formula>0</formula>
    </cfRule>
  </conditionalFormatting>
  <conditionalFormatting sqref="C129">
    <cfRule type="cellIs" dxfId="81" priority="15" stopIfTrue="1" operator="equal">
      <formula>"Threat"</formula>
    </cfRule>
    <cfRule type="cellIs" dxfId="80" priority="16" stopIfTrue="1" operator="equal">
      <formula>"Opportunity"</formula>
    </cfRule>
  </conditionalFormatting>
  <conditionalFormatting sqref="C130">
    <cfRule type="cellIs" dxfId="79" priority="9" stopIfTrue="1" operator="equal">
      <formula>"Threat"</formula>
    </cfRule>
    <cfRule type="cellIs" dxfId="78" priority="10" stopIfTrue="1" operator="equal">
      <formula>"Opportunity"</formula>
    </cfRule>
  </conditionalFormatting>
  <conditionalFormatting sqref="U130:V130">
    <cfRule type="cellIs" dxfId="77" priority="13" operator="greaterThan">
      <formula>1</formula>
    </cfRule>
    <cfRule type="cellIs" dxfId="76" priority="14" operator="lessThan">
      <formula>0</formula>
    </cfRule>
  </conditionalFormatting>
  <conditionalFormatting sqref="U130">
    <cfRule type="cellIs" dxfId="75" priority="11" operator="equal">
      <formula>1</formula>
    </cfRule>
    <cfRule type="cellIs" dxfId="74" priority="12" operator="equal">
      <formula>0</formula>
    </cfRule>
  </conditionalFormatting>
  <conditionalFormatting sqref="C132">
    <cfRule type="cellIs" dxfId="73" priority="7" stopIfTrue="1" operator="equal">
      <formula>"Threat"</formula>
    </cfRule>
    <cfRule type="cellIs" dxfId="72" priority="8" stopIfTrue="1" operator="equal">
      <formula>"Opportunity"</formula>
    </cfRule>
  </conditionalFormatting>
  <conditionalFormatting sqref="C134">
    <cfRule type="cellIs" dxfId="71" priority="5" stopIfTrue="1" operator="equal">
      <formula>"Threat"</formula>
    </cfRule>
    <cfRule type="cellIs" dxfId="70" priority="6" stopIfTrue="1" operator="equal">
      <formula>"Opportunity"</formula>
    </cfRule>
  </conditionalFormatting>
  <conditionalFormatting sqref="C136">
    <cfRule type="cellIs" dxfId="69" priority="3" stopIfTrue="1" operator="equal">
      <formula>"Threat"</formula>
    </cfRule>
    <cfRule type="cellIs" dxfId="68" priority="4" stopIfTrue="1" operator="equal">
      <formula>"Opportunity"</formula>
    </cfRule>
  </conditionalFormatting>
  <conditionalFormatting sqref="C137">
    <cfRule type="cellIs" dxfId="67" priority="1" stopIfTrue="1" operator="equal">
      <formula>"Threat"</formula>
    </cfRule>
    <cfRule type="cellIs" dxfId="66" priority="2" stopIfTrue="1" operator="equal">
      <formula>"Opportunity"</formula>
    </cfRule>
  </conditionalFormatting>
  <dataValidations count="2">
    <dataValidation type="list" allowBlank="1" showInputMessage="1" showErrorMessage="1" sqref="H124:L124 H6:L87 H89:L122 H126:L127 H129:L130 H134:L134 H136:L137">
      <formula1>"VH,H,M,L,VL,N"</formula1>
    </dataValidation>
    <dataValidation type="list" allowBlank="1" showInputMessage="1" showErrorMessage="1" sqref="C124 C6:C87 C89:C122 C126:C127 C129:C130 C132 C134 C136:C137">
      <formula1>"Threat,Opportunity"</formula1>
    </dataValidation>
  </dataValidations>
  <hyperlinks>
    <hyperlink ref="B126" r:id="rId1" display="http://mu2e-docdb.fnal.gov:8080/cgi-bin/ShowDocument?docid=3369"/>
    <hyperlink ref="B127" r:id="rId2" display="http://mu2e-docdb.fnal.gov:8080/cgi-bin/ShowDocument?docid=3362"/>
    <hyperlink ref="B129" r:id="rId3" display="http://mu2e-docdb.fnal.gov:8080/cgi-bin/ShowDocument?docid=3832"/>
    <hyperlink ref="B130" r:id="rId4" display="http://mu2e-docdb.fnal.gov:8080/cgi-bin/ShowDocument?docid=3352"/>
    <hyperlink ref="B132" r:id="rId5" display="http://mu2e-docdb.fnal.gov:8080/cgi-bin/ShowDocument?docid=4425"/>
    <hyperlink ref="B134" r:id="rId6" display="http://mu2e-docdb.fnal.gov:8080/cgi-bin/ShowDocument?docid=3333"/>
    <hyperlink ref="B136" r:id="rId7" display="http://mu2e-docdb.fnal.gov:8080/cgi-bin/ShowDocument?docid=5038"/>
    <hyperlink ref="B137" r:id="rId8" display="http://mu2e-docdb.fnal.gov:8080/cgi-bin/ShowDocument?docid=3392"/>
  </hyperlinks>
  <pageMargins left="0.75" right="0.75" top="1" bottom="1" header="0.5" footer="0.5"/>
  <pageSetup scale="26" orientation="portrait"/>
  <headerFooter>
    <oddFooter>&amp;C&amp;P of &amp;N</oddFooter>
  </headerFooter>
  <drawing r:id="rId9"/>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2"/>
  <sheetViews>
    <sheetView topLeftCell="A23" zoomScale="70" zoomScaleNormal="70" workbookViewId="0">
      <selection activeCell="O27" sqref="O27"/>
    </sheetView>
  </sheetViews>
  <sheetFormatPr defaultColWidth="12.42578125" defaultRowHeight="12.75" x14ac:dyDescent="0.2"/>
  <cols>
    <col min="1" max="5" width="12.42578125" style="291"/>
    <col min="6" max="6" width="19.28515625" style="291" customWidth="1"/>
    <col min="7" max="16384" width="12.42578125" style="291"/>
  </cols>
  <sheetData>
    <row r="3" spans="1:22" ht="15.75" thickBot="1" x14ac:dyDescent="0.25">
      <c r="A3" s="286"/>
      <c r="B3" s="287"/>
      <c r="C3" s="286"/>
      <c r="D3" s="288"/>
      <c r="E3" s="286"/>
      <c r="F3" s="286"/>
      <c r="G3" s="289"/>
      <c r="H3" s="287"/>
      <c r="I3" s="287"/>
      <c r="J3" s="287"/>
      <c r="K3" s="287"/>
      <c r="L3" s="287"/>
      <c r="M3" s="287"/>
      <c r="N3" s="289"/>
      <c r="O3" s="290"/>
      <c r="P3" s="290"/>
      <c r="Q3" s="290"/>
      <c r="R3" s="290"/>
      <c r="S3" s="290"/>
      <c r="T3" s="290"/>
      <c r="U3" s="290"/>
      <c r="V3" s="286"/>
    </row>
    <row r="4" spans="1:22" ht="15.75" thickBot="1" x14ac:dyDescent="0.3">
      <c r="A4" s="387" t="s">
        <v>26</v>
      </c>
      <c r="B4" s="388"/>
      <c r="C4" s="389"/>
      <c r="D4" s="389"/>
      <c r="E4" s="292"/>
      <c r="F4" s="292"/>
      <c r="G4" s="293"/>
      <c r="H4" s="390" t="s">
        <v>54</v>
      </c>
      <c r="I4" s="390"/>
      <c r="J4" s="390"/>
      <c r="K4" s="390"/>
      <c r="L4" s="390"/>
      <c r="M4" s="390"/>
      <c r="N4" s="293" t="s">
        <v>55</v>
      </c>
      <c r="O4" s="294"/>
      <c r="P4" s="294"/>
      <c r="Q4" s="294"/>
      <c r="R4" s="294"/>
      <c r="S4" s="294"/>
      <c r="T4" s="294"/>
      <c r="U4" s="294"/>
      <c r="V4" s="295" t="s">
        <v>32</v>
      </c>
    </row>
    <row r="5" spans="1:22" ht="45.75" thickBot="1" x14ac:dyDescent="0.3">
      <c r="A5" s="296" t="s">
        <v>27</v>
      </c>
      <c r="B5" s="297" t="s">
        <v>307</v>
      </c>
      <c r="C5" s="298" t="s">
        <v>56</v>
      </c>
      <c r="D5" s="299" t="s">
        <v>28</v>
      </c>
      <c r="E5" s="300" t="s">
        <v>309</v>
      </c>
      <c r="F5" s="300" t="s">
        <v>312</v>
      </c>
      <c r="G5" s="300" t="s">
        <v>428</v>
      </c>
      <c r="H5" s="301" t="s">
        <v>30</v>
      </c>
      <c r="I5" s="302" t="s">
        <v>564</v>
      </c>
      <c r="J5" s="301" t="s">
        <v>31</v>
      </c>
      <c r="K5" s="301" t="s">
        <v>58</v>
      </c>
      <c r="L5" s="301" t="s">
        <v>545</v>
      </c>
      <c r="M5" s="301" t="s">
        <v>59</v>
      </c>
      <c r="N5" s="300" t="s">
        <v>29</v>
      </c>
      <c r="O5" s="303" t="s">
        <v>41</v>
      </c>
      <c r="P5" s="304" t="s">
        <v>42</v>
      </c>
      <c r="Q5" s="304" t="s">
        <v>43</v>
      </c>
      <c r="R5" s="304" t="s">
        <v>50</v>
      </c>
      <c r="S5" s="305" t="s">
        <v>51</v>
      </c>
      <c r="T5" s="305" t="s">
        <v>565</v>
      </c>
      <c r="U5" s="305" t="s">
        <v>566</v>
      </c>
      <c r="V5" s="306"/>
    </row>
    <row r="6" spans="1:22" ht="105" x14ac:dyDescent="0.25">
      <c r="A6" s="307" t="s">
        <v>60</v>
      </c>
      <c r="B6" s="308">
        <v>3342</v>
      </c>
      <c r="C6" s="307" t="s">
        <v>61</v>
      </c>
      <c r="D6" s="309" t="s">
        <v>62</v>
      </c>
      <c r="E6" s="310" t="s">
        <v>538</v>
      </c>
      <c r="F6" s="311"/>
      <c r="G6" s="312" t="s">
        <v>63</v>
      </c>
      <c r="H6" s="313" t="s">
        <v>155</v>
      </c>
      <c r="I6" s="313" t="s">
        <v>33</v>
      </c>
      <c r="J6" s="313" t="s">
        <v>33</v>
      </c>
      <c r="K6" s="313" t="s">
        <v>34</v>
      </c>
      <c r="L6" s="313" t="s">
        <v>35</v>
      </c>
      <c r="M6" s="314" t="s">
        <v>567</v>
      </c>
      <c r="N6" s="312" t="s">
        <v>65</v>
      </c>
      <c r="O6" s="315">
        <v>175</v>
      </c>
      <c r="P6" s="316">
        <v>120</v>
      </c>
      <c r="Q6" s="317">
        <v>0.05</v>
      </c>
      <c r="R6" s="315">
        <f t="shared" ref="R6:R27" si="0">O6*Q6</f>
        <v>8.75</v>
      </c>
      <c r="S6" s="316">
        <f t="shared" ref="S6:T27" si="1">P6*Q6</f>
        <v>6</v>
      </c>
      <c r="T6" s="318">
        <v>30</v>
      </c>
      <c r="U6" s="318">
        <f>T6*T6</f>
        <v>900</v>
      </c>
      <c r="V6" s="319" t="s">
        <v>568</v>
      </c>
    </row>
    <row r="7" spans="1:22" ht="120" x14ac:dyDescent="0.25">
      <c r="A7" s="307" t="s">
        <v>150</v>
      </c>
      <c r="B7" s="308">
        <v>3358</v>
      </c>
      <c r="C7" s="307" t="s">
        <v>61</v>
      </c>
      <c r="D7" s="309" t="s">
        <v>151</v>
      </c>
      <c r="E7" s="310" t="s">
        <v>538</v>
      </c>
      <c r="F7" s="320">
        <v>20000</v>
      </c>
      <c r="G7" s="321" t="s">
        <v>63</v>
      </c>
      <c r="H7" s="322" t="s">
        <v>36</v>
      </c>
      <c r="I7" s="322" t="s">
        <v>36</v>
      </c>
      <c r="J7" s="322" t="s">
        <v>36</v>
      </c>
      <c r="K7" s="322" t="s">
        <v>33</v>
      </c>
      <c r="L7" s="322" t="s">
        <v>35</v>
      </c>
      <c r="M7" s="314" t="s">
        <v>567</v>
      </c>
      <c r="N7" s="312" t="s">
        <v>152</v>
      </c>
      <c r="O7" s="323">
        <v>75</v>
      </c>
      <c r="P7" s="324">
        <v>60</v>
      </c>
      <c r="Q7" s="325">
        <v>0.17</v>
      </c>
      <c r="R7" s="326">
        <f t="shared" si="0"/>
        <v>12.750000000000002</v>
      </c>
      <c r="S7" s="327">
        <f t="shared" si="1"/>
        <v>10.200000000000001</v>
      </c>
      <c r="T7" s="328">
        <v>10</v>
      </c>
      <c r="U7" s="318">
        <f t="shared" ref="U7:U26" si="2">T7*T7</f>
        <v>100</v>
      </c>
      <c r="V7" s="319" t="s">
        <v>569</v>
      </c>
    </row>
    <row r="8" spans="1:22" ht="45" x14ac:dyDescent="0.25">
      <c r="A8" s="307" t="s">
        <v>0</v>
      </c>
      <c r="B8" s="308">
        <v>3329</v>
      </c>
      <c r="C8" s="307" t="s">
        <v>61</v>
      </c>
      <c r="D8" s="309" t="s">
        <v>1</v>
      </c>
      <c r="E8" s="310" t="s">
        <v>540</v>
      </c>
      <c r="F8" s="311"/>
      <c r="G8" s="312" t="s">
        <v>63</v>
      </c>
      <c r="H8" s="313" t="s">
        <v>33</v>
      </c>
      <c r="I8" s="313" t="s">
        <v>36</v>
      </c>
      <c r="J8" s="313" t="s">
        <v>36</v>
      </c>
      <c r="K8" s="313" t="s">
        <v>155</v>
      </c>
      <c r="L8" s="313" t="s">
        <v>35</v>
      </c>
      <c r="M8" s="314" t="s">
        <v>567</v>
      </c>
      <c r="N8" s="312" t="s">
        <v>2</v>
      </c>
      <c r="O8" s="323">
        <v>75</v>
      </c>
      <c r="P8" s="316">
        <v>60</v>
      </c>
      <c r="Q8" s="317">
        <v>0.5</v>
      </c>
      <c r="R8" s="315">
        <f t="shared" si="0"/>
        <v>37.5</v>
      </c>
      <c r="S8" s="316">
        <f t="shared" si="1"/>
        <v>30</v>
      </c>
      <c r="T8" s="318">
        <v>10</v>
      </c>
      <c r="U8" s="318">
        <f t="shared" si="2"/>
        <v>100</v>
      </c>
      <c r="V8" s="319" t="s">
        <v>568</v>
      </c>
    </row>
    <row r="9" spans="1:22" ht="75" x14ac:dyDescent="0.25">
      <c r="A9" s="307" t="s">
        <v>94</v>
      </c>
      <c r="B9" s="308">
        <v>3332</v>
      </c>
      <c r="C9" s="307" t="s">
        <v>61</v>
      </c>
      <c r="D9" s="309" t="s">
        <v>95</v>
      </c>
      <c r="E9" s="310" t="s">
        <v>538</v>
      </c>
      <c r="F9" s="311"/>
      <c r="G9" s="312" t="s">
        <v>63</v>
      </c>
      <c r="H9" s="313" t="s">
        <v>36</v>
      </c>
      <c r="I9" s="313" t="s">
        <v>36</v>
      </c>
      <c r="J9" s="313" t="s">
        <v>36</v>
      </c>
      <c r="K9" s="313" t="s">
        <v>33</v>
      </c>
      <c r="L9" s="313" t="s">
        <v>33</v>
      </c>
      <c r="M9" s="314" t="s">
        <v>567</v>
      </c>
      <c r="N9" s="312" t="s">
        <v>92</v>
      </c>
      <c r="O9" s="323">
        <v>75</v>
      </c>
      <c r="P9" s="316">
        <v>60</v>
      </c>
      <c r="Q9" s="317">
        <v>0.17</v>
      </c>
      <c r="R9" s="315">
        <f t="shared" si="0"/>
        <v>12.750000000000002</v>
      </c>
      <c r="S9" s="316">
        <f t="shared" si="1"/>
        <v>10.200000000000001</v>
      </c>
      <c r="T9" s="318">
        <v>10</v>
      </c>
      <c r="U9" s="318">
        <f t="shared" si="2"/>
        <v>100</v>
      </c>
      <c r="V9" s="319" t="s">
        <v>570</v>
      </c>
    </row>
    <row r="10" spans="1:22" ht="60" x14ac:dyDescent="0.25">
      <c r="A10" s="307" t="s">
        <v>80</v>
      </c>
      <c r="B10" s="308">
        <v>3335</v>
      </c>
      <c r="C10" s="307" t="s">
        <v>61</v>
      </c>
      <c r="D10" s="309" t="s">
        <v>81</v>
      </c>
      <c r="E10" s="310" t="s">
        <v>342</v>
      </c>
      <c r="F10" s="311"/>
      <c r="G10" s="312" t="s">
        <v>63</v>
      </c>
      <c r="H10" s="313" t="s">
        <v>33</v>
      </c>
      <c r="I10" s="313" t="s">
        <v>36</v>
      </c>
      <c r="J10" s="313" t="s">
        <v>155</v>
      </c>
      <c r="K10" s="313" t="s">
        <v>33</v>
      </c>
      <c r="L10" s="313" t="s">
        <v>35</v>
      </c>
      <c r="M10" s="314" t="s">
        <v>567</v>
      </c>
      <c r="N10" s="312" t="s">
        <v>82</v>
      </c>
      <c r="O10" s="329">
        <v>25</v>
      </c>
      <c r="P10" s="316">
        <v>60</v>
      </c>
      <c r="Q10" s="317">
        <v>0.5</v>
      </c>
      <c r="R10" s="315">
        <f t="shared" si="0"/>
        <v>12.5</v>
      </c>
      <c r="S10" s="316">
        <f t="shared" si="1"/>
        <v>30</v>
      </c>
      <c r="T10" s="318">
        <v>10</v>
      </c>
      <c r="U10" s="318">
        <f t="shared" si="2"/>
        <v>100</v>
      </c>
      <c r="V10" s="319" t="s">
        <v>568</v>
      </c>
    </row>
    <row r="11" spans="1:22" ht="90" x14ac:dyDescent="0.25">
      <c r="A11" s="307" t="s">
        <v>353</v>
      </c>
      <c r="B11" s="308">
        <v>3839</v>
      </c>
      <c r="C11" s="307" t="s">
        <v>61</v>
      </c>
      <c r="D11" s="309" t="s">
        <v>354</v>
      </c>
      <c r="E11" s="310" t="s">
        <v>538</v>
      </c>
      <c r="F11" s="311"/>
      <c r="G11" s="312" t="s">
        <v>63</v>
      </c>
      <c r="H11" s="313" t="s">
        <v>36</v>
      </c>
      <c r="I11" s="313" t="s">
        <v>33</v>
      </c>
      <c r="J11" s="313" t="s">
        <v>34</v>
      </c>
      <c r="K11" s="313" t="s">
        <v>33</v>
      </c>
      <c r="L11" s="313" t="s">
        <v>35</v>
      </c>
      <c r="M11" s="314" t="s">
        <v>571</v>
      </c>
      <c r="N11" s="312" t="s">
        <v>92</v>
      </c>
      <c r="O11" s="315">
        <v>77</v>
      </c>
      <c r="P11" s="316">
        <v>135</v>
      </c>
      <c r="Q11" s="317">
        <v>0.17</v>
      </c>
      <c r="R11" s="315">
        <f t="shared" si="0"/>
        <v>13.090000000000002</v>
      </c>
      <c r="S11" s="316">
        <f t="shared" si="1"/>
        <v>22.950000000000003</v>
      </c>
      <c r="T11" s="318">
        <v>50</v>
      </c>
      <c r="U11" s="318">
        <f t="shared" si="2"/>
        <v>2500</v>
      </c>
      <c r="V11" s="319" t="s">
        <v>568</v>
      </c>
    </row>
    <row r="12" spans="1:22" ht="90" x14ac:dyDescent="0.25">
      <c r="A12" s="307" t="s">
        <v>143</v>
      </c>
      <c r="B12" s="308">
        <v>3354</v>
      </c>
      <c r="C12" s="307" t="s">
        <v>61</v>
      </c>
      <c r="D12" s="309" t="s">
        <v>144</v>
      </c>
      <c r="E12" s="310" t="s">
        <v>541</v>
      </c>
      <c r="F12" s="311">
        <v>50000</v>
      </c>
      <c r="G12" s="312" t="s">
        <v>63</v>
      </c>
      <c r="H12" s="313" t="s">
        <v>33</v>
      </c>
      <c r="I12" s="313" t="s">
        <v>33</v>
      </c>
      <c r="J12" s="313" t="s">
        <v>33</v>
      </c>
      <c r="K12" s="313" t="s">
        <v>33</v>
      </c>
      <c r="L12" s="313" t="s">
        <v>35</v>
      </c>
      <c r="M12" s="314" t="s">
        <v>571</v>
      </c>
      <c r="N12" s="312" t="s">
        <v>113</v>
      </c>
      <c r="O12" s="329">
        <v>200</v>
      </c>
      <c r="P12" s="327">
        <v>135</v>
      </c>
      <c r="Q12" s="330">
        <v>0.5</v>
      </c>
      <c r="R12" s="315">
        <f t="shared" si="0"/>
        <v>100</v>
      </c>
      <c r="S12" s="316">
        <f t="shared" si="1"/>
        <v>67.5</v>
      </c>
      <c r="T12" s="318">
        <v>30</v>
      </c>
      <c r="U12" s="318">
        <f t="shared" si="2"/>
        <v>900</v>
      </c>
      <c r="V12" s="319" t="s">
        <v>569</v>
      </c>
    </row>
    <row r="13" spans="1:22" ht="30" x14ac:dyDescent="0.25">
      <c r="A13" s="307" t="s">
        <v>139</v>
      </c>
      <c r="B13" s="308">
        <v>3355</v>
      </c>
      <c r="C13" s="307" t="s">
        <v>61</v>
      </c>
      <c r="D13" s="309" t="s">
        <v>140</v>
      </c>
      <c r="E13" s="310" t="s">
        <v>538</v>
      </c>
      <c r="F13" s="311"/>
      <c r="G13" s="312" t="s">
        <v>63</v>
      </c>
      <c r="H13" s="313" t="s">
        <v>33</v>
      </c>
      <c r="I13" s="313" t="s">
        <v>33</v>
      </c>
      <c r="J13" s="313" t="s">
        <v>33</v>
      </c>
      <c r="K13" s="313" t="s">
        <v>36</v>
      </c>
      <c r="L13" s="313" t="s">
        <v>35</v>
      </c>
      <c r="M13" s="314" t="s">
        <v>571</v>
      </c>
      <c r="N13" s="312" t="s">
        <v>539</v>
      </c>
      <c r="O13" s="329">
        <v>175</v>
      </c>
      <c r="P13" s="327">
        <v>135</v>
      </c>
      <c r="Q13" s="331">
        <v>0.5</v>
      </c>
      <c r="R13" s="315">
        <f t="shared" si="0"/>
        <v>87.5</v>
      </c>
      <c r="S13" s="316">
        <f t="shared" si="1"/>
        <v>67.5</v>
      </c>
      <c r="T13" s="318">
        <v>30</v>
      </c>
      <c r="U13" s="318">
        <f t="shared" si="2"/>
        <v>900</v>
      </c>
      <c r="V13" s="319" t="s">
        <v>569</v>
      </c>
    </row>
    <row r="14" spans="1:22" ht="105" x14ac:dyDescent="0.25">
      <c r="A14" s="307" t="s">
        <v>142</v>
      </c>
      <c r="B14" s="308">
        <v>3356</v>
      </c>
      <c r="C14" s="307" t="s">
        <v>61</v>
      </c>
      <c r="D14" s="309" t="s">
        <v>306</v>
      </c>
      <c r="E14" s="309" t="s">
        <v>538</v>
      </c>
      <c r="F14" s="332"/>
      <c r="G14" s="312" t="s">
        <v>63</v>
      </c>
      <c r="H14" s="313" t="s">
        <v>33</v>
      </c>
      <c r="I14" s="313" t="s">
        <v>33</v>
      </c>
      <c r="J14" s="313" t="s">
        <v>33</v>
      </c>
      <c r="K14" s="313" t="s">
        <v>33</v>
      </c>
      <c r="L14" s="313" t="s">
        <v>35</v>
      </c>
      <c r="M14" s="314" t="s">
        <v>571</v>
      </c>
      <c r="N14" s="312" t="s">
        <v>539</v>
      </c>
      <c r="O14" s="329">
        <v>175</v>
      </c>
      <c r="P14" s="327">
        <v>135</v>
      </c>
      <c r="Q14" s="331">
        <v>0.5</v>
      </c>
      <c r="R14" s="315">
        <f t="shared" si="0"/>
        <v>87.5</v>
      </c>
      <c r="S14" s="316">
        <f t="shared" si="1"/>
        <v>67.5</v>
      </c>
      <c r="T14" s="318">
        <v>30</v>
      </c>
      <c r="U14" s="318">
        <f t="shared" si="2"/>
        <v>900</v>
      </c>
      <c r="V14" s="319" t="s">
        <v>569</v>
      </c>
    </row>
    <row r="15" spans="1:22" ht="90" x14ac:dyDescent="0.25">
      <c r="A15" s="307" t="s">
        <v>135</v>
      </c>
      <c r="B15" s="308">
        <v>3370</v>
      </c>
      <c r="C15" s="333" t="s">
        <v>61</v>
      </c>
      <c r="D15" s="309" t="s">
        <v>136</v>
      </c>
      <c r="E15" s="310" t="s">
        <v>540</v>
      </c>
      <c r="F15" s="311"/>
      <c r="G15" s="312" t="s">
        <v>63</v>
      </c>
      <c r="H15" s="313" t="s">
        <v>155</v>
      </c>
      <c r="I15" s="313" t="s">
        <v>33</v>
      </c>
      <c r="J15" s="313" t="s">
        <v>36</v>
      </c>
      <c r="K15" s="313" t="s">
        <v>33</v>
      </c>
      <c r="L15" s="313" t="s">
        <v>35</v>
      </c>
      <c r="M15" s="314" t="s">
        <v>567</v>
      </c>
      <c r="N15" s="312" t="s">
        <v>71</v>
      </c>
      <c r="O15" s="334">
        <v>75</v>
      </c>
      <c r="P15" s="327">
        <v>135</v>
      </c>
      <c r="Q15" s="330">
        <v>0.05</v>
      </c>
      <c r="R15" s="315">
        <f t="shared" si="0"/>
        <v>3.75</v>
      </c>
      <c r="S15" s="316">
        <f t="shared" si="1"/>
        <v>6.75</v>
      </c>
      <c r="T15" s="318">
        <v>10</v>
      </c>
      <c r="U15" s="318">
        <f t="shared" si="2"/>
        <v>100</v>
      </c>
      <c r="V15" s="319" t="s">
        <v>569</v>
      </c>
    </row>
    <row r="16" spans="1:22" ht="75" x14ac:dyDescent="0.25">
      <c r="A16" s="307" t="s">
        <v>123</v>
      </c>
      <c r="B16" s="308">
        <v>3330</v>
      </c>
      <c r="C16" s="307" t="s">
        <v>61</v>
      </c>
      <c r="D16" s="309" t="s">
        <v>124</v>
      </c>
      <c r="E16" s="310" t="s">
        <v>541</v>
      </c>
      <c r="F16" s="320">
        <v>10000</v>
      </c>
      <c r="G16" s="321" t="s">
        <v>63</v>
      </c>
      <c r="H16" s="322" t="s">
        <v>36</v>
      </c>
      <c r="I16" s="322" t="s">
        <v>35</v>
      </c>
      <c r="J16" s="322" t="s">
        <v>33</v>
      </c>
      <c r="K16" s="322" t="s">
        <v>35</v>
      </c>
      <c r="L16" s="322" t="s">
        <v>35</v>
      </c>
      <c r="M16" s="314" t="s">
        <v>567</v>
      </c>
      <c r="N16" s="312" t="s">
        <v>229</v>
      </c>
      <c r="O16" s="326">
        <v>100</v>
      </c>
      <c r="P16" s="327">
        <v>0</v>
      </c>
      <c r="Q16" s="331">
        <v>0.15</v>
      </c>
      <c r="R16" s="326">
        <f t="shared" si="0"/>
        <v>15</v>
      </c>
      <c r="S16" s="327">
        <f t="shared" si="1"/>
        <v>0</v>
      </c>
      <c r="T16" s="328">
        <v>30</v>
      </c>
      <c r="U16" s="318">
        <f t="shared" si="2"/>
        <v>900</v>
      </c>
      <c r="V16" s="319" t="s">
        <v>568</v>
      </c>
    </row>
    <row r="17" spans="1:22" ht="45" x14ac:dyDescent="0.25">
      <c r="A17" s="307" t="s">
        <v>21</v>
      </c>
      <c r="B17" s="308">
        <v>3357</v>
      </c>
      <c r="C17" s="307" t="s">
        <v>61</v>
      </c>
      <c r="D17" s="309" t="s">
        <v>22</v>
      </c>
      <c r="E17" s="310" t="s">
        <v>542</v>
      </c>
      <c r="F17" s="311"/>
      <c r="G17" s="312" t="s">
        <v>63</v>
      </c>
      <c r="H17" s="313" t="s">
        <v>155</v>
      </c>
      <c r="I17" s="313" t="s">
        <v>64</v>
      </c>
      <c r="J17" s="313" t="s">
        <v>34</v>
      </c>
      <c r="K17" s="313" t="s">
        <v>64</v>
      </c>
      <c r="L17" s="313" t="s">
        <v>34</v>
      </c>
      <c r="M17" s="314" t="s">
        <v>571</v>
      </c>
      <c r="N17" s="312" t="s">
        <v>539</v>
      </c>
      <c r="O17" s="315">
        <v>375</v>
      </c>
      <c r="P17" s="316">
        <v>365</v>
      </c>
      <c r="Q17" s="335">
        <v>0.05</v>
      </c>
      <c r="R17" s="315">
        <f t="shared" si="0"/>
        <v>18.75</v>
      </c>
      <c r="S17" s="316">
        <f t="shared" si="1"/>
        <v>18.25</v>
      </c>
      <c r="T17" s="318">
        <v>50</v>
      </c>
      <c r="U17" s="318">
        <f t="shared" si="2"/>
        <v>2500</v>
      </c>
      <c r="V17" s="319" t="s">
        <v>569</v>
      </c>
    </row>
    <row r="18" spans="1:22" ht="30" x14ac:dyDescent="0.25">
      <c r="A18" s="307" t="s">
        <v>187</v>
      </c>
      <c r="B18" s="308">
        <v>3348</v>
      </c>
      <c r="C18" s="307" t="s">
        <v>61</v>
      </c>
      <c r="D18" s="309" t="s">
        <v>188</v>
      </c>
      <c r="E18" s="310" t="s">
        <v>538</v>
      </c>
      <c r="F18" s="311"/>
      <c r="G18" s="312" t="s">
        <v>63</v>
      </c>
      <c r="H18" s="313" t="s">
        <v>155</v>
      </c>
      <c r="I18" s="313" t="s">
        <v>35</v>
      </c>
      <c r="J18" s="313" t="s">
        <v>36</v>
      </c>
      <c r="K18" s="313" t="s">
        <v>33</v>
      </c>
      <c r="L18" s="313" t="s">
        <v>35</v>
      </c>
      <c r="M18" s="314" t="s">
        <v>567</v>
      </c>
      <c r="N18" s="312" t="s">
        <v>93</v>
      </c>
      <c r="O18" s="315">
        <v>25</v>
      </c>
      <c r="P18" s="316">
        <v>0</v>
      </c>
      <c r="Q18" s="317">
        <v>0.05</v>
      </c>
      <c r="R18" s="315">
        <f t="shared" si="0"/>
        <v>1.25</v>
      </c>
      <c r="S18" s="316">
        <f t="shared" si="1"/>
        <v>0</v>
      </c>
      <c r="T18" s="318">
        <v>10</v>
      </c>
      <c r="U18" s="318">
        <f t="shared" si="2"/>
        <v>100</v>
      </c>
      <c r="V18" s="319" t="s">
        <v>569</v>
      </c>
    </row>
    <row r="19" spans="1:22" ht="75" x14ac:dyDescent="0.25">
      <c r="A19" s="307" t="s">
        <v>162</v>
      </c>
      <c r="B19" s="308">
        <v>3349</v>
      </c>
      <c r="C19" s="307" t="s">
        <v>61</v>
      </c>
      <c r="D19" s="309" t="s">
        <v>163</v>
      </c>
      <c r="E19" s="310" t="s">
        <v>541</v>
      </c>
      <c r="F19" s="311">
        <v>50000</v>
      </c>
      <c r="G19" s="312" t="s">
        <v>63</v>
      </c>
      <c r="H19" s="313" t="s">
        <v>36</v>
      </c>
      <c r="I19" s="313" t="s">
        <v>35</v>
      </c>
      <c r="J19" s="313" t="s">
        <v>33</v>
      </c>
      <c r="K19" s="313" t="s">
        <v>33</v>
      </c>
      <c r="L19" s="313" t="s">
        <v>35</v>
      </c>
      <c r="M19" s="314" t="s">
        <v>567</v>
      </c>
      <c r="N19" s="312" t="s">
        <v>93</v>
      </c>
      <c r="O19" s="315">
        <v>175</v>
      </c>
      <c r="P19" s="316">
        <v>0</v>
      </c>
      <c r="Q19" s="317">
        <v>0.17</v>
      </c>
      <c r="R19" s="315">
        <f t="shared" si="0"/>
        <v>29.750000000000004</v>
      </c>
      <c r="S19" s="316">
        <f t="shared" si="1"/>
        <v>0</v>
      </c>
      <c r="T19" s="318">
        <v>30</v>
      </c>
      <c r="U19" s="318">
        <f t="shared" si="2"/>
        <v>900</v>
      </c>
      <c r="V19" s="319" t="s">
        <v>569</v>
      </c>
    </row>
    <row r="20" spans="1:22" ht="60" x14ac:dyDescent="0.25">
      <c r="A20" s="307" t="s">
        <v>173</v>
      </c>
      <c r="B20" s="308">
        <v>3359</v>
      </c>
      <c r="C20" s="307" t="s">
        <v>61</v>
      </c>
      <c r="D20" s="309" t="s">
        <v>174</v>
      </c>
      <c r="E20" s="310" t="s">
        <v>543</v>
      </c>
      <c r="F20" s="311">
        <v>200000</v>
      </c>
      <c r="G20" s="312" t="s">
        <v>63</v>
      </c>
      <c r="H20" s="313" t="s">
        <v>36</v>
      </c>
      <c r="I20" s="313" t="s">
        <v>155</v>
      </c>
      <c r="J20" s="313" t="s">
        <v>572</v>
      </c>
      <c r="K20" s="313" t="s">
        <v>33</v>
      </c>
      <c r="L20" s="313" t="s">
        <v>35</v>
      </c>
      <c r="M20" s="314" t="s">
        <v>567</v>
      </c>
      <c r="N20" s="312" t="s">
        <v>152</v>
      </c>
      <c r="O20" s="315">
        <v>25</v>
      </c>
      <c r="P20" s="316">
        <v>15</v>
      </c>
      <c r="Q20" s="335">
        <v>0.17</v>
      </c>
      <c r="R20" s="315">
        <f t="shared" si="0"/>
        <v>4.25</v>
      </c>
      <c r="S20" s="316">
        <f t="shared" si="1"/>
        <v>2.5500000000000003</v>
      </c>
      <c r="T20" s="318">
        <v>10</v>
      </c>
      <c r="U20" s="318">
        <f t="shared" si="2"/>
        <v>100</v>
      </c>
      <c r="V20" s="336" t="s">
        <v>573</v>
      </c>
    </row>
    <row r="21" spans="1:22" ht="105" x14ac:dyDescent="0.25">
      <c r="A21" s="307" t="s">
        <v>359</v>
      </c>
      <c r="B21" s="308">
        <v>3838</v>
      </c>
      <c r="C21" s="307" t="s">
        <v>61</v>
      </c>
      <c r="D21" s="337" t="s">
        <v>360</v>
      </c>
      <c r="E21" s="310" t="s">
        <v>538</v>
      </c>
      <c r="F21" s="311">
        <v>50000</v>
      </c>
      <c r="G21" s="312" t="s">
        <v>63</v>
      </c>
      <c r="H21" s="313" t="s">
        <v>36</v>
      </c>
      <c r="I21" s="313" t="s">
        <v>33</v>
      </c>
      <c r="J21" s="313" t="s">
        <v>33</v>
      </c>
      <c r="K21" s="313" t="s">
        <v>33</v>
      </c>
      <c r="L21" s="313" t="s">
        <v>35</v>
      </c>
      <c r="M21" s="314" t="s">
        <v>567</v>
      </c>
      <c r="N21" s="312" t="s">
        <v>92</v>
      </c>
      <c r="O21" s="315">
        <v>175</v>
      </c>
      <c r="P21" s="316">
        <v>0</v>
      </c>
      <c r="Q21" s="335">
        <v>0.17</v>
      </c>
      <c r="R21" s="315">
        <f t="shared" si="0"/>
        <v>29.750000000000004</v>
      </c>
      <c r="S21" s="316">
        <f t="shared" si="1"/>
        <v>0</v>
      </c>
      <c r="T21" s="318">
        <f t="shared" si="1"/>
        <v>5.057500000000001</v>
      </c>
      <c r="U21" s="318">
        <f t="shared" si="2"/>
        <v>25.578306250000011</v>
      </c>
      <c r="V21" s="319" t="s">
        <v>574</v>
      </c>
    </row>
    <row r="22" spans="1:22" ht="90" x14ac:dyDescent="0.25">
      <c r="A22" s="307" t="s">
        <v>102</v>
      </c>
      <c r="B22" s="308"/>
      <c r="C22" s="307" t="s">
        <v>61</v>
      </c>
      <c r="D22" s="309" t="s">
        <v>103</v>
      </c>
      <c r="E22" s="310" t="s">
        <v>538</v>
      </c>
      <c r="F22" s="311"/>
      <c r="G22" s="312" t="s">
        <v>63</v>
      </c>
      <c r="H22" s="313" t="s">
        <v>155</v>
      </c>
      <c r="I22" s="313" t="s">
        <v>155</v>
      </c>
      <c r="J22" s="313" t="s">
        <v>33</v>
      </c>
      <c r="K22" s="313" t="s">
        <v>34</v>
      </c>
      <c r="L22" s="313" t="s">
        <v>35</v>
      </c>
      <c r="M22" s="314" t="s">
        <v>567</v>
      </c>
      <c r="N22" s="312" t="s">
        <v>104</v>
      </c>
      <c r="O22" s="315">
        <v>175</v>
      </c>
      <c r="P22" s="316">
        <v>15</v>
      </c>
      <c r="Q22" s="335">
        <v>0.05</v>
      </c>
      <c r="R22" s="315">
        <f t="shared" si="0"/>
        <v>8.75</v>
      </c>
      <c r="S22" s="316">
        <f t="shared" si="1"/>
        <v>0.75</v>
      </c>
      <c r="T22" s="318">
        <v>30</v>
      </c>
      <c r="U22" s="318">
        <f t="shared" si="2"/>
        <v>900</v>
      </c>
      <c r="V22" s="319" t="s">
        <v>569</v>
      </c>
    </row>
    <row r="23" spans="1:22" ht="120" x14ac:dyDescent="0.25">
      <c r="A23" s="307" t="s">
        <v>221</v>
      </c>
      <c r="B23" s="308"/>
      <c r="C23" s="307" t="s">
        <v>61</v>
      </c>
      <c r="D23" s="309" t="s">
        <v>222</v>
      </c>
      <c r="E23" s="310" t="s">
        <v>541</v>
      </c>
      <c r="F23" s="311"/>
      <c r="G23" s="312" t="s">
        <v>63</v>
      </c>
      <c r="H23" s="313" t="s">
        <v>155</v>
      </c>
      <c r="I23" s="313" t="s">
        <v>33</v>
      </c>
      <c r="J23" s="313" t="s">
        <v>35</v>
      </c>
      <c r="K23" s="313" t="s">
        <v>33</v>
      </c>
      <c r="L23" s="313" t="s">
        <v>35</v>
      </c>
      <c r="M23" s="314" t="s">
        <v>567</v>
      </c>
      <c r="N23" s="312" t="s">
        <v>167</v>
      </c>
      <c r="O23" s="315">
        <v>0</v>
      </c>
      <c r="P23" s="316">
        <v>135</v>
      </c>
      <c r="Q23" s="335">
        <v>0.05</v>
      </c>
      <c r="R23" s="315">
        <f t="shared" si="0"/>
        <v>0</v>
      </c>
      <c r="S23" s="316">
        <f t="shared" si="1"/>
        <v>6.75</v>
      </c>
      <c r="T23" s="318">
        <v>0</v>
      </c>
      <c r="U23" s="318">
        <f t="shared" si="2"/>
        <v>0</v>
      </c>
      <c r="V23" s="319" t="s">
        <v>568</v>
      </c>
    </row>
    <row r="24" spans="1:22" ht="90" x14ac:dyDescent="0.25">
      <c r="A24" s="307" t="s">
        <v>314</v>
      </c>
      <c r="B24" s="308">
        <v>3840</v>
      </c>
      <c r="C24" s="307" t="s">
        <v>61</v>
      </c>
      <c r="D24" s="309" t="s">
        <v>315</v>
      </c>
      <c r="E24" s="310" t="s">
        <v>538</v>
      </c>
      <c r="F24" s="311">
        <v>3000000</v>
      </c>
      <c r="G24" s="312" t="s">
        <v>63</v>
      </c>
      <c r="H24" s="313" t="s">
        <v>36</v>
      </c>
      <c r="I24" s="313" t="s">
        <v>33</v>
      </c>
      <c r="J24" s="313" t="s">
        <v>64</v>
      </c>
      <c r="K24" s="313" t="s">
        <v>33</v>
      </c>
      <c r="L24" s="313" t="s">
        <v>35</v>
      </c>
      <c r="M24" s="314" t="s">
        <v>575</v>
      </c>
      <c r="N24" s="312" t="s">
        <v>113</v>
      </c>
      <c r="O24" s="315">
        <v>750</v>
      </c>
      <c r="P24" s="316">
        <v>135</v>
      </c>
      <c r="Q24" s="335">
        <v>0.17</v>
      </c>
      <c r="R24" s="315">
        <f t="shared" si="0"/>
        <v>127.50000000000001</v>
      </c>
      <c r="S24" s="316">
        <f t="shared" si="1"/>
        <v>22.950000000000003</v>
      </c>
      <c r="T24" s="318">
        <v>100</v>
      </c>
      <c r="U24" s="318">
        <f t="shared" si="2"/>
        <v>10000</v>
      </c>
      <c r="V24" s="319" t="s">
        <v>569</v>
      </c>
    </row>
    <row r="25" spans="1:22" ht="75" x14ac:dyDescent="0.25">
      <c r="A25" s="307" t="s">
        <v>316</v>
      </c>
      <c r="B25" s="308">
        <v>3841</v>
      </c>
      <c r="C25" s="307" t="s">
        <v>61</v>
      </c>
      <c r="D25" s="337" t="s">
        <v>210</v>
      </c>
      <c r="E25" s="310" t="s">
        <v>544</v>
      </c>
      <c r="F25" s="311">
        <v>50000</v>
      </c>
      <c r="G25" s="312" t="s">
        <v>63</v>
      </c>
      <c r="H25" s="313" t="s">
        <v>155</v>
      </c>
      <c r="I25" s="313" t="s">
        <v>64</v>
      </c>
      <c r="J25" s="313" t="s">
        <v>64</v>
      </c>
      <c r="K25" s="313" t="s">
        <v>64</v>
      </c>
      <c r="L25" s="313" t="s">
        <v>35</v>
      </c>
      <c r="M25" s="314" t="s">
        <v>571</v>
      </c>
      <c r="N25" s="312" t="s">
        <v>320</v>
      </c>
      <c r="O25" s="315">
        <v>750</v>
      </c>
      <c r="P25" s="316">
        <v>365</v>
      </c>
      <c r="Q25" s="335">
        <v>0.01</v>
      </c>
      <c r="R25" s="315">
        <f t="shared" si="0"/>
        <v>7.5</v>
      </c>
      <c r="S25" s="316">
        <f t="shared" si="1"/>
        <v>3.65</v>
      </c>
      <c r="T25" s="318">
        <v>100</v>
      </c>
      <c r="U25" s="318">
        <f t="shared" si="2"/>
        <v>10000</v>
      </c>
      <c r="V25" s="319" t="s">
        <v>569</v>
      </c>
    </row>
    <row r="26" spans="1:22" ht="75" x14ac:dyDescent="0.25">
      <c r="A26" s="307" t="s">
        <v>317</v>
      </c>
      <c r="B26" s="308">
        <v>3842</v>
      </c>
      <c r="C26" s="307" t="s">
        <v>61</v>
      </c>
      <c r="D26" s="309" t="s">
        <v>327</v>
      </c>
      <c r="E26" s="310" t="s">
        <v>576</v>
      </c>
      <c r="F26" s="311">
        <v>30000</v>
      </c>
      <c r="G26" s="312" t="s">
        <v>63</v>
      </c>
      <c r="H26" s="313" t="s">
        <v>36</v>
      </c>
      <c r="I26" s="313" t="s">
        <v>36</v>
      </c>
      <c r="J26" s="313" t="s">
        <v>33</v>
      </c>
      <c r="K26" s="313" t="s">
        <v>36</v>
      </c>
      <c r="L26" s="313" t="s">
        <v>35</v>
      </c>
      <c r="M26" s="314" t="s">
        <v>567</v>
      </c>
      <c r="N26" s="312" t="s">
        <v>214</v>
      </c>
      <c r="O26" s="315">
        <v>175</v>
      </c>
      <c r="P26" s="316">
        <v>60</v>
      </c>
      <c r="Q26" s="335">
        <v>0.17</v>
      </c>
      <c r="R26" s="315">
        <f t="shared" si="0"/>
        <v>29.750000000000004</v>
      </c>
      <c r="S26" s="316">
        <f t="shared" si="1"/>
        <v>10.200000000000001</v>
      </c>
      <c r="T26" s="318">
        <v>30</v>
      </c>
      <c r="U26" s="318">
        <f t="shared" si="2"/>
        <v>900</v>
      </c>
      <c r="V26" s="319" t="s">
        <v>568</v>
      </c>
    </row>
    <row r="27" spans="1:22" ht="90" x14ac:dyDescent="0.25">
      <c r="A27" s="343" t="s">
        <v>590</v>
      </c>
      <c r="B27" s="308">
        <v>5211</v>
      </c>
      <c r="C27" s="344" t="s">
        <v>61</v>
      </c>
      <c r="D27" s="345" t="s">
        <v>594</v>
      </c>
      <c r="E27" s="310" t="s">
        <v>543</v>
      </c>
      <c r="F27" s="311">
        <v>15000</v>
      </c>
      <c r="G27" s="312" t="s">
        <v>63</v>
      </c>
      <c r="H27" s="313" t="s">
        <v>155</v>
      </c>
      <c r="I27" s="313" t="s">
        <v>64</v>
      </c>
      <c r="J27" s="313" t="s">
        <v>64</v>
      </c>
      <c r="K27" s="313" t="s">
        <v>64</v>
      </c>
      <c r="L27" s="313" t="s">
        <v>36</v>
      </c>
      <c r="M27" s="314" t="s">
        <v>571</v>
      </c>
      <c r="N27" s="312" t="s">
        <v>593</v>
      </c>
      <c r="O27" s="315">
        <v>5000</v>
      </c>
      <c r="P27" s="316">
        <v>500</v>
      </c>
      <c r="Q27" s="335">
        <v>0.01</v>
      </c>
      <c r="R27" s="315">
        <f t="shared" si="0"/>
        <v>50</v>
      </c>
      <c r="S27" s="316">
        <f t="shared" si="1"/>
        <v>5</v>
      </c>
      <c r="T27" s="318"/>
      <c r="U27" s="318"/>
      <c r="V27" s="319"/>
    </row>
    <row r="28" spans="1:22" ht="18.95" customHeight="1" x14ac:dyDescent="0.2">
      <c r="Q28" s="291" t="s">
        <v>577</v>
      </c>
      <c r="R28" s="338">
        <f>SUM(R6:R27)</f>
        <v>698.34</v>
      </c>
      <c r="S28" s="291" t="s">
        <v>578</v>
      </c>
    </row>
    <row r="29" spans="1:22" x14ac:dyDescent="0.2">
      <c r="Q29" s="291" t="s">
        <v>579</v>
      </c>
      <c r="R29" s="291">
        <f>SUM(U6:U26)</f>
        <v>32925.578306249998</v>
      </c>
    </row>
    <row r="30" spans="1:22" x14ac:dyDescent="0.2">
      <c r="Q30" s="291" t="s">
        <v>580</v>
      </c>
      <c r="R30" s="291">
        <f>SQRT(R29)</f>
        <v>181.45406665668861</v>
      </c>
      <c r="S30" s="291" t="s">
        <v>578</v>
      </c>
    </row>
    <row r="31" spans="1:22" x14ac:dyDescent="0.2">
      <c r="Q31" s="291" t="s">
        <v>581</v>
      </c>
      <c r="R31" s="339">
        <f>(1.3*R30)+R28</f>
        <v>934.2302866536952</v>
      </c>
      <c r="S31" s="291" t="s">
        <v>582</v>
      </c>
    </row>
    <row r="32" spans="1:22" x14ac:dyDescent="0.2">
      <c r="Q32" s="291" t="s">
        <v>583</v>
      </c>
      <c r="R32" s="291">
        <f>(1.6*R30)+R28</f>
        <v>988.66650665070188</v>
      </c>
      <c r="S32" s="291" t="s">
        <v>582</v>
      </c>
    </row>
  </sheetData>
  <customSheetViews>
    <customSheetView guid="{8AF944F7-C3D1-6E48-8544-F246EE5D8D9B}" topLeftCell="A19">
      <selection activeCell="K32" sqref="K32"/>
      <pageMargins left="0.7" right="0.7" top="0.75" bottom="0.75" header="0.3" footer="0.3"/>
      <pageSetup orientation="portrait" horizontalDpi="4294967292" verticalDpi="4294967292"/>
    </customSheetView>
    <customSheetView guid="{7D136558-6337-4481-BB09-697594446B4E}" topLeftCell="A25">
      <selection activeCell="K32" sqref="K32"/>
      <pageMargins left="0.7" right="0.7" top="0.75" bottom="0.75" header="0.3" footer="0.3"/>
      <pageSetup orientation="portrait" horizontalDpi="4294967292" verticalDpi="4294967292"/>
    </customSheetView>
  </customSheetViews>
  <mergeCells count="2">
    <mergeCell ref="A4:D4"/>
    <mergeCell ref="H4:M4"/>
  </mergeCells>
  <conditionalFormatting sqref="C6:C26">
    <cfRule type="cellIs" dxfId="65" priority="1" stopIfTrue="1" operator="equal">
      <formula>"Threat"</formula>
    </cfRule>
    <cfRule type="cellIs" dxfId="64" priority="2" stopIfTrue="1" operator="equal">
      <formula>"Opportunity"</formula>
    </cfRule>
  </conditionalFormatting>
  <dataValidations count="2">
    <dataValidation type="list" allowBlank="1" showInputMessage="1" showErrorMessage="1" sqref="H6:L26">
      <formula1>"VH,H,M,L,VL,N"</formula1>
    </dataValidation>
    <dataValidation type="list" allowBlank="1" showInputMessage="1" showErrorMessage="1" sqref="C6:C26">
      <formula1>"Threat,Opportunity"</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3"/>
  <sheetViews>
    <sheetView topLeftCell="A3" zoomScale="150" zoomScaleNormal="150" zoomScalePageLayoutView="150" workbookViewId="0">
      <pane ySplit="10" topLeftCell="A24" activePane="bottomLeft" state="frozenSplit"/>
      <selection activeCell="F3" sqref="F3"/>
      <selection pane="bottomLeft" activeCell="G127" sqref="G127"/>
    </sheetView>
  </sheetViews>
  <sheetFormatPr defaultColWidth="9.140625" defaultRowHeight="15" x14ac:dyDescent="0.25"/>
  <cols>
    <col min="1" max="1" width="18.7109375" customWidth="1"/>
    <col min="2" max="2" width="18.7109375" style="6" customWidth="1"/>
    <col min="4" max="6" width="25.7109375" customWidth="1"/>
    <col min="7" max="7" width="13.7109375" style="7" customWidth="1"/>
    <col min="8" max="8" width="9.140625" style="6"/>
    <col min="9" max="9" width="12.140625" style="6" customWidth="1"/>
    <col min="10" max="13" width="9.140625" style="6"/>
    <col min="14" max="14" width="15" style="7" customWidth="1"/>
    <col min="15" max="15" width="15.7109375" style="6" customWidth="1"/>
    <col min="16" max="17" width="10.42578125" style="6" customWidth="1"/>
    <col min="18" max="19" width="13.7109375" style="6" customWidth="1"/>
    <col min="20" max="20" width="11.42578125" customWidth="1"/>
    <col min="21" max="21" width="12" customWidth="1"/>
    <col min="22" max="22" width="8.28515625" customWidth="1"/>
    <col min="23" max="23" width="16" customWidth="1"/>
    <col min="24" max="24" width="11.85546875" customWidth="1"/>
    <col min="25" max="25" width="12" customWidth="1"/>
    <col min="26" max="26" width="10.140625" customWidth="1"/>
    <col min="27" max="27" width="53" customWidth="1"/>
    <col min="28" max="28" width="7.42578125" customWidth="1"/>
    <col min="30" max="30" width="9.28515625" customWidth="1"/>
  </cols>
  <sheetData>
    <row r="1" spans="1:27" s="2" customFormat="1" ht="15.75" thickBot="1" x14ac:dyDescent="0.3">
      <c r="B1" s="46"/>
      <c r="G1" s="1"/>
      <c r="H1" s="46"/>
      <c r="I1" s="46"/>
      <c r="J1" s="46"/>
      <c r="K1" s="46"/>
      <c r="L1" s="46"/>
      <c r="M1" s="46"/>
      <c r="N1" s="1"/>
      <c r="O1" s="22"/>
      <c r="P1" s="22"/>
      <c r="Q1" s="22"/>
      <c r="R1" s="22"/>
      <c r="S1" s="22"/>
      <c r="T1" s="33" t="s">
        <v>52</v>
      </c>
      <c r="U1" s="24" t="s">
        <v>49</v>
      </c>
      <c r="V1" s="24"/>
      <c r="W1" s="24"/>
      <c r="X1" s="24"/>
      <c r="Y1" s="25"/>
      <c r="Z1" s="34"/>
    </row>
    <row r="2" spans="1:27" s="2" customFormat="1" x14ac:dyDescent="0.25">
      <c r="B2" s="46"/>
      <c r="G2" s="1"/>
      <c r="H2" s="46"/>
      <c r="I2" s="46"/>
      <c r="J2" s="46"/>
      <c r="K2" s="46"/>
      <c r="L2" s="46"/>
      <c r="M2" s="46"/>
      <c r="N2" s="1"/>
      <c r="O2" s="22"/>
      <c r="P2" s="22"/>
      <c r="Q2" s="22"/>
      <c r="R2" s="22"/>
      <c r="S2" s="22"/>
    </row>
    <row r="3" spans="1:27" s="2" customFormat="1" ht="15.75" thickBot="1" x14ac:dyDescent="0.3">
      <c r="B3" s="46"/>
      <c r="G3" s="1"/>
      <c r="H3" s="46"/>
      <c r="I3" s="46"/>
      <c r="J3" s="46"/>
      <c r="K3" s="46"/>
      <c r="L3" s="46"/>
      <c r="M3" s="46"/>
      <c r="N3" s="1"/>
      <c r="O3" s="22"/>
      <c r="P3" s="22"/>
      <c r="Q3" s="22"/>
      <c r="R3" s="22"/>
      <c r="S3" s="22"/>
    </row>
    <row r="4" spans="1:27" s="3" customFormat="1" ht="23.25" customHeight="1" thickBot="1" x14ac:dyDescent="0.3">
      <c r="A4" s="378" t="s">
        <v>26</v>
      </c>
      <c r="B4" s="379"/>
      <c r="C4" s="380"/>
      <c r="D4" s="380"/>
      <c r="E4" s="82"/>
      <c r="F4" s="82"/>
      <c r="G4" s="45"/>
      <c r="H4" s="381" t="s">
        <v>54</v>
      </c>
      <c r="I4" s="381"/>
      <c r="J4" s="381"/>
      <c r="K4" s="381"/>
      <c r="L4" s="381"/>
      <c r="M4" s="381"/>
      <c r="N4" s="45" t="s">
        <v>55</v>
      </c>
      <c r="O4" s="23"/>
      <c r="P4" s="23"/>
      <c r="Q4" s="23"/>
      <c r="R4" s="23"/>
      <c r="S4" s="23"/>
      <c r="T4" s="382" t="s">
        <v>48</v>
      </c>
      <c r="U4" s="383"/>
      <c r="V4" s="383"/>
      <c r="W4" s="383"/>
      <c r="X4" s="383"/>
      <c r="Y4" s="383"/>
      <c r="Z4" s="59"/>
      <c r="AA4" s="26" t="s">
        <v>32</v>
      </c>
    </row>
    <row r="5" spans="1:27" s="4" customFormat="1" ht="83.1" customHeight="1" thickBot="1" x14ac:dyDescent="0.3">
      <c r="A5" s="39" t="s">
        <v>27</v>
      </c>
      <c r="B5" s="57" t="s">
        <v>307</v>
      </c>
      <c r="C5" s="40" t="s">
        <v>56</v>
      </c>
      <c r="D5" s="41" t="s">
        <v>28</v>
      </c>
      <c r="E5" s="41" t="s">
        <v>309</v>
      </c>
      <c r="F5" s="41" t="s">
        <v>312</v>
      </c>
      <c r="G5" s="41" t="s">
        <v>428</v>
      </c>
      <c r="H5" s="47" t="s">
        <v>30</v>
      </c>
      <c r="I5" s="76" t="s">
        <v>57</v>
      </c>
      <c r="J5" s="47" t="s">
        <v>31</v>
      </c>
      <c r="K5" s="47" t="s">
        <v>58</v>
      </c>
      <c r="L5" s="47" t="s">
        <v>545</v>
      </c>
      <c r="M5" s="47" t="s">
        <v>59</v>
      </c>
      <c r="N5" s="41" t="s">
        <v>29</v>
      </c>
      <c r="O5" s="27" t="s">
        <v>41</v>
      </c>
      <c r="P5" s="28" t="s">
        <v>42</v>
      </c>
      <c r="Q5" s="28" t="s">
        <v>43</v>
      </c>
      <c r="R5" s="28" t="s">
        <v>50</v>
      </c>
      <c r="S5" s="29" t="s">
        <v>51</v>
      </c>
      <c r="T5" s="385" t="s">
        <v>44</v>
      </c>
      <c r="U5" s="386"/>
      <c r="V5" s="81" t="s">
        <v>45</v>
      </c>
      <c r="W5" s="81" t="s">
        <v>598</v>
      </c>
      <c r="X5" s="81" t="s">
        <v>53</v>
      </c>
      <c r="Y5" s="346" t="s">
        <v>599</v>
      </c>
      <c r="Z5" s="352" t="s">
        <v>597</v>
      </c>
      <c r="AA5" s="10"/>
    </row>
    <row r="6" spans="1:27" s="2" customFormat="1" ht="30" hidden="1" x14ac:dyDescent="0.25">
      <c r="A6" s="42" t="s">
        <v>96</v>
      </c>
      <c r="B6" s="59">
        <v>3328</v>
      </c>
      <c r="C6" s="42" t="s">
        <v>61</v>
      </c>
      <c r="D6" s="43" t="s">
        <v>97</v>
      </c>
      <c r="E6" s="43" t="s">
        <v>337</v>
      </c>
      <c r="F6" s="85"/>
      <c r="G6" s="43"/>
      <c r="H6" s="75" t="s">
        <v>33</v>
      </c>
      <c r="I6" s="75" t="s">
        <v>36</v>
      </c>
      <c r="J6" s="75" t="s">
        <v>35</v>
      </c>
      <c r="K6" s="75" t="s">
        <v>35</v>
      </c>
      <c r="L6" s="5" t="s">
        <v>35</v>
      </c>
      <c r="M6" s="51">
        <v>24</v>
      </c>
      <c r="N6" s="43" t="s">
        <v>74</v>
      </c>
      <c r="O6" s="77">
        <v>0</v>
      </c>
      <c r="P6" s="78">
        <v>60</v>
      </c>
      <c r="Q6" s="73">
        <v>0.1</v>
      </c>
      <c r="R6" s="13">
        <f t="shared" ref="R6:R37" si="0">O6*Q6</f>
        <v>0</v>
      </c>
      <c r="S6" s="14">
        <f t="shared" ref="S6:S37" si="1">P6*Q6</f>
        <v>6</v>
      </c>
      <c r="T6" s="19">
        <f t="shared" ref="T6:T37" si="2">IF($Q6=0,0, IF($Q6 = 100%, 100%,$Q6-12.5%))* IF($T$1="Y", 1, IF($O6&lt;0,0,1))</f>
        <v>-2.4999999999999994E-2</v>
      </c>
      <c r="U6" s="19">
        <f t="shared" ref="U6:U37" si="3">IF($Q6=0,0, IF($Q6 = 100%, 100%,$Q6+12.5%))* IF($T$1="Y", 1, IF($O6&lt;0,0,1))</f>
        <v>0.22500000000000001</v>
      </c>
      <c r="V6" s="19">
        <f t="shared" ref="V6:V37" si="4">(U6-T6)/SQRT(12)</f>
        <v>7.216878364870323E-2</v>
      </c>
      <c r="W6" s="16">
        <f t="shared" ref="W6:Y37" si="5">W$121*$R6/$R$121  *  IF($T$1="Y", 1, IF($O6&lt;0,0,1))</f>
        <v>0</v>
      </c>
      <c r="X6" s="16">
        <f t="shared" si="5"/>
        <v>0</v>
      </c>
      <c r="Y6" s="347">
        <f t="shared" si="5"/>
        <v>0</v>
      </c>
      <c r="Z6" s="16"/>
      <c r="AA6" s="11"/>
    </row>
    <row r="7" spans="1:27" s="70" customFormat="1" ht="30" hidden="1" x14ac:dyDescent="0.25">
      <c r="A7" s="42" t="s">
        <v>0</v>
      </c>
      <c r="B7" s="59">
        <v>3329</v>
      </c>
      <c r="C7" s="42" t="s">
        <v>61</v>
      </c>
      <c r="D7" s="89" t="s">
        <v>1</v>
      </c>
      <c r="E7" s="89"/>
      <c r="F7" s="88"/>
      <c r="G7" s="43" t="s">
        <v>63</v>
      </c>
      <c r="H7" s="5" t="s">
        <v>33</v>
      </c>
      <c r="I7" s="5" t="s">
        <v>34</v>
      </c>
      <c r="J7" s="5" t="s">
        <v>35</v>
      </c>
      <c r="K7" s="5" t="s">
        <v>34</v>
      </c>
      <c r="L7" s="5" t="s">
        <v>36</v>
      </c>
      <c r="M7" s="51">
        <v>24</v>
      </c>
      <c r="N7" s="43" t="s">
        <v>2</v>
      </c>
      <c r="O7" s="16">
        <v>0</v>
      </c>
      <c r="P7" s="8"/>
      <c r="Q7" s="15">
        <v>0.5</v>
      </c>
      <c r="R7" s="16">
        <f t="shared" si="0"/>
        <v>0</v>
      </c>
      <c r="S7" s="8">
        <f t="shared" si="1"/>
        <v>0</v>
      </c>
      <c r="T7" s="19">
        <f t="shared" si="2"/>
        <v>0.375</v>
      </c>
      <c r="U7" s="19">
        <f t="shared" si="3"/>
        <v>0.625</v>
      </c>
      <c r="V7" s="19">
        <f t="shared" si="4"/>
        <v>7.216878364870323E-2</v>
      </c>
      <c r="W7" s="16">
        <f t="shared" si="5"/>
        <v>0</v>
      </c>
      <c r="X7" s="16">
        <f t="shared" si="5"/>
        <v>0</v>
      </c>
      <c r="Y7" s="347">
        <f t="shared" si="5"/>
        <v>0</v>
      </c>
      <c r="Z7" s="16"/>
      <c r="AA7" s="11"/>
    </row>
    <row r="8" spans="1:27" s="2" customFormat="1" ht="30" hidden="1" x14ac:dyDescent="0.25">
      <c r="A8" s="42" t="s">
        <v>123</v>
      </c>
      <c r="B8" s="59">
        <v>3330</v>
      </c>
      <c r="C8" s="42" t="s">
        <v>61</v>
      </c>
      <c r="D8" s="43" t="s">
        <v>124</v>
      </c>
      <c r="E8" s="43" t="s">
        <v>338</v>
      </c>
      <c r="F8" s="85">
        <v>10000</v>
      </c>
      <c r="G8" s="43"/>
      <c r="H8" s="5" t="s">
        <v>36</v>
      </c>
      <c r="I8" s="5" t="s">
        <v>35</v>
      </c>
      <c r="J8" s="5" t="s">
        <v>33</v>
      </c>
      <c r="K8" s="5" t="s">
        <v>35</v>
      </c>
      <c r="L8" s="5" t="s">
        <v>35</v>
      </c>
      <c r="M8" s="52">
        <v>10</v>
      </c>
      <c r="N8" s="43" t="s">
        <v>125</v>
      </c>
      <c r="O8" s="16">
        <v>100000</v>
      </c>
      <c r="P8" s="8"/>
      <c r="Q8" s="15">
        <v>0.5</v>
      </c>
      <c r="R8" s="16">
        <f t="shared" si="0"/>
        <v>50000</v>
      </c>
      <c r="S8" s="8">
        <f t="shared" si="1"/>
        <v>0</v>
      </c>
      <c r="T8" s="19">
        <f t="shared" si="2"/>
        <v>0.375</v>
      </c>
      <c r="U8" s="19">
        <f t="shared" si="3"/>
        <v>0.625</v>
      </c>
      <c r="V8" s="19">
        <f t="shared" si="4"/>
        <v>7.216878364870323E-2</v>
      </c>
      <c r="W8" s="16">
        <f t="shared" si="5"/>
        <v>57692.663452004424</v>
      </c>
      <c r="X8" s="16">
        <f t="shared" si="5"/>
        <v>59515.958346444262</v>
      </c>
      <c r="Y8" s="347">
        <f t="shared" si="5"/>
        <v>62213.588300221483</v>
      </c>
      <c r="Z8" s="16"/>
      <c r="AA8" s="11"/>
    </row>
    <row r="9" spans="1:27" s="2" customFormat="1" ht="30" hidden="1" x14ac:dyDescent="0.25">
      <c r="A9" s="42" t="s">
        <v>83</v>
      </c>
      <c r="B9" s="59">
        <v>3331</v>
      </c>
      <c r="C9" s="42" t="s">
        <v>61</v>
      </c>
      <c r="D9" s="43" t="s">
        <v>84</v>
      </c>
      <c r="E9" s="43" t="s">
        <v>339</v>
      </c>
      <c r="F9" s="85"/>
      <c r="G9" s="43"/>
      <c r="H9" s="5" t="s">
        <v>36</v>
      </c>
      <c r="I9" s="5" t="s">
        <v>35</v>
      </c>
      <c r="J9" s="5" t="s">
        <v>35</v>
      </c>
      <c r="K9" s="5" t="s">
        <v>64</v>
      </c>
      <c r="L9" s="5" t="s">
        <v>35</v>
      </c>
      <c r="M9" s="51">
        <v>24</v>
      </c>
      <c r="N9" s="43" t="s">
        <v>85</v>
      </c>
      <c r="O9" s="71">
        <v>185000</v>
      </c>
      <c r="P9" s="72">
        <v>0</v>
      </c>
      <c r="Q9" s="73">
        <v>0.1</v>
      </c>
      <c r="R9" s="16">
        <f t="shared" si="0"/>
        <v>18500</v>
      </c>
      <c r="S9" s="8">
        <f t="shared" si="1"/>
        <v>0</v>
      </c>
      <c r="T9" s="19">
        <f t="shared" si="2"/>
        <v>-2.4999999999999994E-2</v>
      </c>
      <c r="U9" s="19">
        <f t="shared" si="3"/>
        <v>0.22500000000000001</v>
      </c>
      <c r="V9" s="19">
        <f t="shared" si="4"/>
        <v>7.216878364870323E-2</v>
      </c>
      <c r="W9" s="16">
        <f t="shared" si="5"/>
        <v>21346.285477241636</v>
      </c>
      <c r="X9" s="16">
        <f t="shared" si="5"/>
        <v>22020.904588184378</v>
      </c>
      <c r="Y9" s="347">
        <f t="shared" si="5"/>
        <v>23019.027671081949</v>
      </c>
      <c r="Z9" s="16"/>
      <c r="AA9" s="11"/>
    </row>
    <row r="10" spans="1:27" s="2" customFormat="1" ht="45" hidden="1" x14ac:dyDescent="0.25">
      <c r="A10" s="42" t="s">
        <v>227</v>
      </c>
      <c r="B10" s="59"/>
      <c r="C10" s="42" t="s">
        <v>61</v>
      </c>
      <c r="D10" s="43" t="s">
        <v>228</v>
      </c>
      <c r="E10" s="43"/>
      <c r="F10" s="85"/>
      <c r="G10" s="43"/>
      <c r="H10" s="5" t="s">
        <v>36</v>
      </c>
      <c r="I10" s="5" t="s">
        <v>35</v>
      </c>
      <c r="J10" s="5" t="s">
        <v>36</v>
      </c>
      <c r="K10" s="5" t="s">
        <v>35</v>
      </c>
      <c r="L10" s="5" t="s">
        <v>35</v>
      </c>
      <c r="M10" s="53">
        <v>3</v>
      </c>
      <c r="N10" s="43" t="s">
        <v>229</v>
      </c>
      <c r="O10" s="16"/>
      <c r="P10" s="8"/>
      <c r="Q10" s="15"/>
      <c r="R10" s="16">
        <f t="shared" si="0"/>
        <v>0</v>
      </c>
      <c r="S10" s="8">
        <f t="shared" si="1"/>
        <v>0</v>
      </c>
      <c r="T10" s="19">
        <f t="shared" si="2"/>
        <v>0</v>
      </c>
      <c r="U10" s="19">
        <f t="shared" si="3"/>
        <v>0</v>
      </c>
      <c r="V10" s="19">
        <f t="shared" si="4"/>
        <v>0</v>
      </c>
      <c r="W10" s="16">
        <f t="shared" si="5"/>
        <v>0</v>
      </c>
      <c r="X10" s="16">
        <f t="shared" si="5"/>
        <v>0</v>
      </c>
      <c r="Y10" s="347">
        <f t="shared" si="5"/>
        <v>0</v>
      </c>
      <c r="Z10" s="16"/>
      <c r="AA10" s="11"/>
    </row>
    <row r="11" spans="1:27" s="2" customFormat="1" ht="30" hidden="1" x14ac:dyDescent="0.25">
      <c r="A11" s="42" t="s">
        <v>94</v>
      </c>
      <c r="B11" s="59">
        <v>3332</v>
      </c>
      <c r="C11" s="42" t="s">
        <v>61</v>
      </c>
      <c r="D11" s="89" t="s">
        <v>95</v>
      </c>
      <c r="E11" s="89"/>
      <c r="F11" s="88"/>
      <c r="G11" s="43" t="s">
        <v>63</v>
      </c>
      <c r="H11" s="5" t="s">
        <v>36</v>
      </c>
      <c r="I11" s="5" t="s">
        <v>35</v>
      </c>
      <c r="J11" s="5" t="s">
        <v>35</v>
      </c>
      <c r="K11" s="5" t="s">
        <v>64</v>
      </c>
      <c r="L11" s="5" t="s">
        <v>35</v>
      </c>
      <c r="M11" s="51">
        <v>24</v>
      </c>
      <c r="N11" s="43" t="s">
        <v>92</v>
      </c>
      <c r="O11" s="16">
        <v>0</v>
      </c>
      <c r="P11" s="8"/>
      <c r="Q11" s="15">
        <v>0.17</v>
      </c>
      <c r="R11" s="16">
        <f t="shared" si="0"/>
        <v>0</v>
      </c>
      <c r="S11" s="8">
        <f t="shared" si="1"/>
        <v>0</v>
      </c>
      <c r="T11" s="19">
        <f t="shared" si="2"/>
        <v>4.5000000000000012E-2</v>
      </c>
      <c r="U11" s="19">
        <f t="shared" si="3"/>
        <v>0.29500000000000004</v>
      </c>
      <c r="V11" s="19">
        <f t="shared" si="4"/>
        <v>7.216878364870323E-2</v>
      </c>
      <c r="W11" s="16">
        <f t="shared" si="5"/>
        <v>0</v>
      </c>
      <c r="X11" s="16">
        <f t="shared" si="5"/>
        <v>0</v>
      </c>
      <c r="Y11" s="347">
        <f t="shared" si="5"/>
        <v>0</v>
      </c>
      <c r="Z11" s="16"/>
      <c r="AA11" s="11"/>
    </row>
    <row r="12" spans="1:27" s="2" customFormat="1" ht="30" hidden="1" x14ac:dyDescent="0.25">
      <c r="A12" s="42" t="s">
        <v>90</v>
      </c>
      <c r="B12" s="59">
        <v>3333</v>
      </c>
      <c r="C12" s="42" t="s">
        <v>61</v>
      </c>
      <c r="D12" s="43" t="s">
        <v>91</v>
      </c>
      <c r="E12" s="43" t="s">
        <v>340</v>
      </c>
      <c r="F12" s="85">
        <v>20000</v>
      </c>
      <c r="G12" s="43"/>
      <c r="H12" s="5" t="s">
        <v>36</v>
      </c>
      <c r="I12" s="5" t="s">
        <v>35</v>
      </c>
      <c r="J12" s="5" t="s">
        <v>64</v>
      </c>
      <c r="K12" s="5" t="s">
        <v>35</v>
      </c>
      <c r="L12" s="5" t="s">
        <v>35</v>
      </c>
      <c r="M12" s="51">
        <v>24</v>
      </c>
      <c r="N12" s="43" t="s">
        <v>92</v>
      </c>
      <c r="O12" s="16">
        <v>2000000</v>
      </c>
      <c r="P12" s="8"/>
      <c r="Q12" s="15">
        <v>0.1</v>
      </c>
      <c r="R12" s="16">
        <f t="shared" si="0"/>
        <v>200000</v>
      </c>
      <c r="S12" s="8">
        <f t="shared" si="1"/>
        <v>0</v>
      </c>
      <c r="T12" s="19">
        <f t="shared" si="2"/>
        <v>-2.4999999999999994E-2</v>
      </c>
      <c r="U12" s="19">
        <f t="shared" si="3"/>
        <v>0.22500000000000001</v>
      </c>
      <c r="V12" s="19">
        <f t="shared" si="4"/>
        <v>7.216878364870323E-2</v>
      </c>
      <c r="W12" s="16">
        <f t="shared" si="5"/>
        <v>230770.6538080177</v>
      </c>
      <c r="X12" s="16">
        <f t="shared" si="5"/>
        <v>238063.83338577705</v>
      </c>
      <c r="Y12" s="347">
        <f t="shared" si="5"/>
        <v>248854.35320088593</v>
      </c>
      <c r="Z12" s="16"/>
      <c r="AA12" s="11"/>
    </row>
    <row r="13" spans="1:27" s="2" customFormat="1" ht="45" x14ac:dyDescent="0.25">
      <c r="A13" s="42" t="s">
        <v>120</v>
      </c>
      <c r="B13" s="59">
        <v>3334</v>
      </c>
      <c r="C13" s="42" t="s">
        <v>121</v>
      </c>
      <c r="D13" s="94" t="s">
        <v>122</v>
      </c>
      <c r="E13" s="94"/>
      <c r="F13" s="93"/>
      <c r="G13" s="43" t="s">
        <v>341</v>
      </c>
      <c r="H13" s="5" t="s">
        <v>33</v>
      </c>
      <c r="I13" s="5" t="s">
        <v>35</v>
      </c>
      <c r="J13" s="5" t="s">
        <v>33</v>
      </c>
      <c r="K13" s="5" t="s">
        <v>35</v>
      </c>
      <c r="L13" s="5" t="s">
        <v>35</v>
      </c>
      <c r="M13" s="52">
        <v>10</v>
      </c>
      <c r="N13" s="43" t="s">
        <v>68</v>
      </c>
      <c r="O13" s="16">
        <v>-134000</v>
      </c>
      <c r="P13" s="8"/>
      <c r="Q13" s="9">
        <v>0</v>
      </c>
      <c r="R13" s="16">
        <f t="shared" si="0"/>
        <v>0</v>
      </c>
      <c r="S13" s="8">
        <f t="shared" si="1"/>
        <v>0</v>
      </c>
      <c r="T13" s="19">
        <f t="shared" si="2"/>
        <v>0</v>
      </c>
      <c r="U13" s="19">
        <f t="shared" si="3"/>
        <v>0</v>
      </c>
      <c r="V13" s="19">
        <f t="shared" si="4"/>
        <v>0</v>
      </c>
      <c r="W13" s="16">
        <f t="shared" si="5"/>
        <v>0</v>
      </c>
      <c r="X13" s="16">
        <f t="shared" si="5"/>
        <v>0</v>
      </c>
      <c r="Y13" s="347">
        <f t="shared" si="5"/>
        <v>0</v>
      </c>
      <c r="Z13" s="16"/>
      <c r="AA13" s="11"/>
    </row>
    <row r="14" spans="1:27" s="2" customFormat="1" ht="30" hidden="1" x14ac:dyDescent="0.25">
      <c r="A14" s="42" t="s">
        <v>80</v>
      </c>
      <c r="B14" s="59">
        <v>3335</v>
      </c>
      <c r="C14" s="42" t="s">
        <v>61</v>
      </c>
      <c r="D14" s="89" t="s">
        <v>81</v>
      </c>
      <c r="E14" s="89" t="s">
        <v>342</v>
      </c>
      <c r="F14" s="88"/>
      <c r="G14" s="43" t="s">
        <v>63</v>
      </c>
      <c r="H14" s="5" t="s">
        <v>33</v>
      </c>
      <c r="I14" s="5" t="s">
        <v>35</v>
      </c>
      <c r="J14" s="5" t="s">
        <v>35</v>
      </c>
      <c r="K14" s="5" t="s">
        <v>34</v>
      </c>
      <c r="L14" s="5" t="s">
        <v>35</v>
      </c>
      <c r="M14" s="51">
        <v>24</v>
      </c>
      <c r="N14" s="43" t="s">
        <v>82</v>
      </c>
      <c r="O14" s="16"/>
      <c r="P14" s="8"/>
      <c r="Q14" s="15">
        <v>0.5</v>
      </c>
      <c r="R14" s="16">
        <f t="shared" si="0"/>
        <v>0</v>
      </c>
      <c r="S14" s="8">
        <f t="shared" si="1"/>
        <v>0</v>
      </c>
      <c r="T14" s="19">
        <f t="shared" si="2"/>
        <v>0.375</v>
      </c>
      <c r="U14" s="19">
        <f t="shared" si="3"/>
        <v>0.625</v>
      </c>
      <c r="V14" s="19">
        <f t="shared" si="4"/>
        <v>7.216878364870323E-2</v>
      </c>
      <c r="W14" s="16">
        <f t="shared" si="5"/>
        <v>0</v>
      </c>
      <c r="X14" s="16">
        <f t="shared" si="5"/>
        <v>0</v>
      </c>
      <c r="Y14" s="347">
        <f t="shared" si="5"/>
        <v>0</v>
      </c>
      <c r="Z14" s="16"/>
      <c r="AA14" s="11"/>
    </row>
    <row r="15" spans="1:27" s="2" customFormat="1" ht="75" hidden="1" x14ac:dyDescent="0.25">
      <c r="A15" s="42" t="s">
        <v>290</v>
      </c>
      <c r="B15" s="59"/>
      <c r="C15" s="42" t="s">
        <v>61</v>
      </c>
      <c r="D15" s="44" t="s">
        <v>291</v>
      </c>
      <c r="E15" s="44"/>
      <c r="F15" s="86"/>
      <c r="G15" s="43" t="s">
        <v>253</v>
      </c>
      <c r="H15" s="5" t="s">
        <v>36</v>
      </c>
      <c r="I15" s="5" t="s">
        <v>35</v>
      </c>
      <c r="J15" s="5" t="s">
        <v>35</v>
      </c>
      <c r="K15" s="5" t="s">
        <v>33</v>
      </c>
      <c r="L15" s="5" t="s">
        <v>35</v>
      </c>
      <c r="M15" s="5">
        <v>0</v>
      </c>
      <c r="N15" s="43" t="s">
        <v>292</v>
      </c>
      <c r="O15" s="16"/>
      <c r="P15" s="8"/>
      <c r="Q15" s="15"/>
      <c r="R15" s="16">
        <f t="shared" si="0"/>
        <v>0</v>
      </c>
      <c r="S15" s="8">
        <f t="shared" si="1"/>
        <v>0</v>
      </c>
      <c r="T15" s="19">
        <f t="shared" si="2"/>
        <v>0</v>
      </c>
      <c r="U15" s="19">
        <f t="shared" si="3"/>
        <v>0</v>
      </c>
      <c r="V15" s="19">
        <f t="shared" si="4"/>
        <v>0</v>
      </c>
      <c r="W15" s="16">
        <f t="shared" si="5"/>
        <v>0</v>
      </c>
      <c r="X15" s="16">
        <f t="shared" si="5"/>
        <v>0</v>
      </c>
      <c r="Y15" s="347">
        <f t="shared" si="5"/>
        <v>0</v>
      </c>
      <c r="Z15" s="16"/>
      <c r="AA15" s="11"/>
    </row>
    <row r="16" spans="1:27" s="2" customFormat="1" ht="75" hidden="1" x14ac:dyDescent="0.25">
      <c r="A16" s="42" t="s">
        <v>263</v>
      </c>
      <c r="B16" s="59"/>
      <c r="C16" s="42" t="s">
        <v>61</v>
      </c>
      <c r="D16" s="44" t="s">
        <v>157</v>
      </c>
      <c r="E16" s="44"/>
      <c r="F16" s="86"/>
      <c r="G16" s="43" t="s">
        <v>253</v>
      </c>
      <c r="H16" s="5" t="s">
        <v>33</v>
      </c>
      <c r="I16" s="5" t="s">
        <v>35</v>
      </c>
      <c r="J16" s="5" t="s">
        <v>33</v>
      </c>
      <c r="K16" s="5" t="s">
        <v>35</v>
      </c>
      <c r="L16" s="5" t="s">
        <v>35</v>
      </c>
      <c r="M16" s="5">
        <v>0</v>
      </c>
      <c r="N16" s="43" t="s">
        <v>82</v>
      </c>
      <c r="O16" s="16"/>
      <c r="P16" s="8"/>
      <c r="Q16" s="9"/>
      <c r="R16" s="16">
        <f t="shared" si="0"/>
        <v>0</v>
      </c>
      <c r="S16" s="8">
        <f t="shared" si="1"/>
        <v>0</v>
      </c>
      <c r="T16" s="19">
        <f t="shared" si="2"/>
        <v>0</v>
      </c>
      <c r="U16" s="19">
        <f t="shared" si="3"/>
        <v>0</v>
      </c>
      <c r="V16" s="19">
        <f t="shared" si="4"/>
        <v>0</v>
      </c>
      <c r="W16" s="16">
        <f t="shared" si="5"/>
        <v>0</v>
      </c>
      <c r="X16" s="16">
        <f t="shared" si="5"/>
        <v>0</v>
      </c>
      <c r="Y16" s="347">
        <f t="shared" si="5"/>
        <v>0</v>
      </c>
      <c r="Z16" s="16"/>
      <c r="AA16" s="11"/>
    </row>
    <row r="17" spans="1:27" s="2" customFormat="1" ht="30" hidden="1" x14ac:dyDescent="0.25">
      <c r="A17" s="42" t="s">
        <v>256</v>
      </c>
      <c r="B17" s="59"/>
      <c r="C17" s="42" t="s">
        <v>61</v>
      </c>
      <c r="D17" s="44" t="s">
        <v>257</v>
      </c>
      <c r="E17" s="44"/>
      <c r="F17" s="86"/>
      <c r="G17" s="43" t="s">
        <v>253</v>
      </c>
      <c r="H17" s="5" t="s">
        <v>36</v>
      </c>
      <c r="I17" s="5" t="s">
        <v>35</v>
      </c>
      <c r="J17" s="5" t="s">
        <v>36</v>
      </c>
      <c r="K17" s="5" t="s">
        <v>35</v>
      </c>
      <c r="L17" s="5" t="s">
        <v>35</v>
      </c>
      <c r="M17" s="5">
        <v>0</v>
      </c>
      <c r="N17" s="43" t="s">
        <v>258</v>
      </c>
      <c r="O17" s="16"/>
      <c r="P17" s="8"/>
      <c r="Q17" s="15"/>
      <c r="R17" s="16">
        <f t="shared" si="0"/>
        <v>0</v>
      </c>
      <c r="S17" s="8">
        <f t="shared" si="1"/>
        <v>0</v>
      </c>
      <c r="T17" s="19">
        <f t="shared" si="2"/>
        <v>0</v>
      </c>
      <c r="U17" s="19">
        <f t="shared" si="3"/>
        <v>0</v>
      </c>
      <c r="V17" s="19">
        <f t="shared" si="4"/>
        <v>0</v>
      </c>
      <c r="W17" s="16">
        <f t="shared" si="5"/>
        <v>0</v>
      </c>
      <c r="X17" s="16">
        <f t="shared" si="5"/>
        <v>0</v>
      </c>
      <c r="Y17" s="347">
        <f t="shared" si="5"/>
        <v>0</v>
      </c>
      <c r="Z17" s="16"/>
      <c r="AA17" s="11"/>
    </row>
    <row r="18" spans="1:27" s="2" customFormat="1" ht="60" hidden="1" x14ac:dyDescent="0.25">
      <c r="A18" s="42" t="s">
        <v>77</v>
      </c>
      <c r="B18" s="59">
        <v>3336</v>
      </c>
      <c r="C18" s="42" t="s">
        <v>61</v>
      </c>
      <c r="D18" s="44" t="s">
        <v>78</v>
      </c>
      <c r="E18" s="44"/>
      <c r="F18" s="86" t="s">
        <v>343</v>
      </c>
      <c r="G18" s="43" t="s">
        <v>253</v>
      </c>
      <c r="H18" s="5" t="s">
        <v>33</v>
      </c>
      <c r="I18" s="5" t="s">
        <v>35</v>
      </c>
      <c r="J18" s="5" t="s">
        <v>35</v>
      </c>
      <c r="K18" s="5" t="s">
        <v>34</v>
      </c>
      <c r="L18" s="5" t="s">
        <v>36</v>
      </c>
      <c r="M18" s="51">
        <v>24</v>
      </c>
      <c r="N18" s="43" t="s">
        <v>79</v>
      </c>
      <c r="O18" s="16"/>
      <c r="P18" s="8"/>
      <c r="Q18" s="9">
        <v>0.5</v>
      </c>
      <c r="R18" s="16">
        <f t="shared" si="0"/>
        <v>0</v>
      </c>
      <c r="S18" s="8">
        <f t="shared" si="1"/>
        <v>0</v>
      </c>
      <c r="T18" s="19">
        <f t="shared" si="2"/>
        <v>0.375</v>
      </c>
      <c r="U18" s="19">
        <f t="shared" si="3"/>
        <v>0.625</v>
      </c>
      <c r="V18" s="19">
        <f t="shared" si="4"/>
        <v>7.216878364870323E-2</v>
      </c>
      <c r="W18" s="16">
        <f t="shared" si="5"/>
        <v>0</v>
      </c>
      <c r="X18" s="16">
        <f t="shared" si="5"/>
        <v>0</v>
      </c>
      <c r="Y18" s="347">
        <f t="shared" si="5"/>
        <v>0</v>
      </c>
      <c r="Z18" s="16"/>
      <c r="AA18" s="11"/>
    </row>
    <row r="19" spans="1:27" s="2" customFormat="1" ht="45" hidden="1" x14ac:dyDescent="0.25">
      <c r="A19" s="42" t="s">
        <v>285</v>
      </c>
      <c r="B19" s="59"/>
      <c r="C19" s="42" t="s">
        <v>61</v>
      </c>
      <c r="D19" s="44" t="s">
        <v>286</v>
      </c>
      <c r="E19" s="44"/>
      <c r="F19" s="86"/>
      <c r="G19" s="43" t="s">
        <v>253</v>
      </c>
      <c r="H19" s="5" t="s">
        <v>36</v>
      </c>
      <c r="I19" s="5" t="s">
        <v>35</v>
      </c>
      <c r="J19" s="5" t="s">
        <v>35</v>
      </c>
      <c r="K19" s="5" t="s">
        <v>33</v>
      </c>
      <c r="L19" s="5" t="s">
        <v>35</v>
      </c>
      <c r="M19" s="5">
        <v>0</v>
      </c>
      <c r="N19" s="43" t="s">
        <v>287</v>
      </c>
      <c r="O19" s="16"/>
      <c r="P19" s="8"/>
      <c r="Q19" s="15"/>
      <c r="R19" s="16">
        <f t="shared" si="0"/>
        <v>0</v>
      </c>
      <c r="S19" s="8">
        <f t="shared" si="1"/>
        <v>0</v>
      </c>
      <c r="T19" s="19">
        <f t="shared" si="2"/>
        <v>0</v>
      </c>
      <c r="U19" s="19">
        <f t="shared" si="3"/>
        <v>0</v>
      </c>
      <c r="V19" s="19">
        <f t="shared" si="4"/>
        <v>0</v>
      </c>
      <c r="W19" s="16">
        <f t="shared" si="5"/>
        <v>0</v>
      </c>
      <c r="X19" s="16">
        <f t="shared" si="5"/>
        <v>0</v>
      </c>
      <c r="Y19" s="347">
        <f t="shared" si="5"/>
        <v>0</v>
      </c>
      <c r="Z19" s="16"/>
      <c r="AA19" s="11"/>
    </row>
    <row r="20" spans="1:27" s="2" customFormat="1" ht="30" x14ac:dyDescent="0.25">
      <c r="A20" s="42" t="s">
        <v>236</v>
      </c>
      <c r="B20" s="59">
        <v>3337</v>
      </c>
      <c r="C20" s="42" t="s">
        <v>121</v>
      </c>
      <c r="D20" s="94" t="s">
        <v>237</v>
      </c>
      <c r="E20" s="94"/>
      <c r="F20" s="93"/>
      <c r="G20" s="43" t="s">
        <v>341</v>
      </c>
      <c r="H20" s="5" t="s">
        <v>33</v>
      </c>
      <c r="I20" s="5" t="s">
        <v>35</v>
      </c>
      <c r="J20" s="5" t="s">
        <v>155</v>
      </c>
      <c r="K20" s="5" t="s">
        <v>35</v>
      </c>
      <c r="L20" s="5" t="s">
        <v>35</v>
      </c>
      <c r="M20" s="53">
        <v>3</v>
      </c>
      <c r="N20" s="43" t="s">
        <v>68</v>
      </c>
      <c r="O20" s="16">
        <v>-13000</v>
      </c>
      <c r="P20" s="8"/>
      <c r="Q20" s="15"/>
      <c r="R20" s="16">
        <f t="shared" si="0"/>
        <v>0</v>
      </c>
      <c r="S20" s="8">
        <f t="shared" si="1"/>
        <v>0</v>
      </c>
      <c r="T20" s="19">
        <f t="shared" si="2"/>
        <v>0</v>
      </c>
      <c r="U20" s="19">
        <f t="shared" si="3"/>
        <v>0</v>
      </c>
      <c r="V20" s="19">
        <f t="shared" si="4"/>
        <v>0</v>
      </c>
      <c r="W20" s="16">
        <f t="shared" si="5"/>
        <v>0</v>
      </c>
      <c r="X20" s="16">
        <f t="shared" si="5"/>
        <v>0</v>
      </c>
      <c r="Y20" s="347">
        <f t="shared" si="5"/>
        <v>0</v>
      </c>
      <c r="Z20" s="16"/>
      <c r="AA20" s="11"/>
    </row>
    <row r="21" spans="1:27" s="2" customFormat="1" ht="30" hidden="1" x14ac:dyDescent="0.25">
      <c r="A21" s="60" t="s">
        <v>66</v>
      </c>
      <c r="B21" s="61">
        <v>3338</v>
      </c>
      <c r="C21" s="60" t="s">
        <v>61</v>
      </c>
      <c r="D21" s="98" t="s">
        <v>67</v>
      </c>
      <c r="E21" s="98"/>
      <c r="F21" s="99"/>
      <c r="G21" s="62" t="s">
        <v>308</v>
      </c>
      <c r="H21" s="63" t="s">
        <v>33</v>
      </c>
      <c r="I21" s="63" t="s">
        <v>35</v>
      </c>
      <c r="J21" s="63" t="s">
        <v>64</v>
      </c>
      <c r="K21" s="63" t="s">
        <v>35</v>
      </c>
      <c r="L21" s="63" t="s">
        <v>35</v>
      </c>
      <c r="M21" s="64">
        <v>0</v>
      </c>
      <c r="N21" s="62" t="s">
        <v>68</v>
      </c>
      <c r="O21" s="65">
        <v>0</v>
      </c>
      <c r="P21" s="66"/>
      <c r="Q21" s="79">
        <v>0</v>
      </c>
      <c r="R21" s="65">
        <f t="shared" si="0"/>
        <v>0</v>
      </c>
      <c r="S21" s="66">
        <f t="shared" si="1"/>
        <v>0</v>
      </c>
      <c r="T21" s="67">
        <f t="shared" si="2"/>
        <v>0</v>
      </c>
      <c r="U21" s="67">
        <f t="shared" si="3"/>
        <v>0</v>
      </c>
      <c r="V21" s="67">
        <f t="shared" si="4"/>
        <v>0</v>
      </c>
      <c r="W21" s="65">
        <f t="shared" si="5"/>
        <v>0</v>
      </c>
      <c r="X21" s="65">
        <f t="shared" si="5"/>
        <v>0</v>
      </c>
      <c r="Y21" s="348">
        <f t="shared" si="5"/>
        <v>0</v>
      </c>
      <c r="Z21" s="65"/>
      <c r="AA21" s="69"/>
    </row>
    <row r="22" spans="1:27" s="2" customFormat="1" ht="30" x14ac:dyDescent="0.25">
      <c r="A22" s="42" t="s">
        <v>219</v>
      </c>
      <c r="B22" s="59">
        <v>3339</v>
      </c>
      <c r="C22" s="42" t="s">
        <v>121</v>
      </c>
      <c r="D22" s="94" t="s">
        <v>220</v>
      </c>
      <c r="E22" s="94"/>
      <c r="F22" s="93"/>
      <c r="G22" s="43" t="s">
        <v>341</v>
      </c>
      <c r="H22" s="5" t="s">
        <v>36</v>
      </c>
      <c r="I22" s="5" t="s">
        <v>35</v>
      </c>
      <c r="J22" s="5" t="s">
        <v>36</v>
      </c>
      <c r="K22" s="5" t="s">
        <v>35</v>
      </c>
      <c r="L22" s="5" t="s">
        <v>35</v>
      </c>
      <c r="M22" s="53">
        <v>3</v>
      </c>
      <c r="N22" s="43" t="s">
        <v>68</v>
      </c>
      <c r="O22" s="16">
        <v>-30000</v>
      </c>
      <c r="P22" s="8"/>
      <c r="Q22" s="9"/>
      <c r="R22" s="16">
        <f t="shared" si="0"/>
        <v>0</v>
      </c>
      <c r="S22" s="8">
        <f t="shared" si="1"/>
        <v>0</v>
      </c>
      <c r="T22" s="19">
        <f t="shared" si="2"/>
        <v>0</v>
      </c>
      <c r="U22" s="19">
        <f t="shared" si="3"/>
        <v>0</v>
      </c>
      <c r="V22" s="19">
        <f t="shared" si="4"/>
        <v>0</v>
      </c>
      <c r="W22" s="16">
        <f t="shared" si="5"/>
        <v>0</v>
      </c>
      <c r="X22" s="16">
        <f t="shared" si="5"/>
        <v>0</v>
      </c>
      <c r="Y22" s="347">
        <f t="shared" si="5"/>
        <v>0</v>
      </c>
      <c r="Z22" s="16"/>
      <c r="AA22" s="11"/>
    </row>
    <row r="23" spans="1:27" s="2" customFormat="1" ht="30" hidden="1" x14ac:dyDescent="0.25">
      <c r="A23" s="42" t="s">
        <v>281</v>
      </c>
      <c r="B23" s="59"/>
      <c r="C23" s="42" t="s">
        <v>61</v>
      </c>
      <c r="D23" s="44" t="s">
        <v>282</v>
      </c>
      <c r="E23" s="44"/>
      <c r="F23" s="86"/>
      <c r="G23" s="43" t="s">
        <v>253</v>
      </c>
      <c r="H23" s="5" t="s">
        <v>33</v>
      </c>
      <c r="I23" s="5" t="s">
        <v>35</v>
      </c>
      <c r="J23" s="5" t="s">
        <v>33</v>
      </c>
      <c r="K23" s="5" t="s">
        <v>35</v>
      </c>
      <c r="L23" s="5" t="s">
        <v>35</v>
      </c>
      <c r="M23" s="5">
        <v>0</v>
      </c>
      <c r="N23" s="43" t="s">
        <v>68</v>
      </c>
      <c r="O23" s="16"/>
      <c r="P23" s="8"/>
      <c r="Q23" s="9"/>
      <c r="R23" s="16">
        <f t="shared" si="0"/>
        <v>0</v>
      </c>
      <c r="S23" s="8">
        <f t="shared" si="1"/>
        <v>0</v>
      </c>
      <c r="T23" s="19">
        <f t="shared" si="2"/>
        <v>0</v>
      </c>
      <c r="U23" s="19">
        <f t="shared" si="3"/>
        <v>0</v>
      </c>
      <c r="V23" s="19">
        <f t="shared" si="4"/>
        <v>0</v>
      </c>
      <c r="W23" s="16">
        <f t="shared" si="5"/>
        <v>0</v>
      </c>
      <c r="X23" s="16">
        <f t="shared" si="5"/>
        <v>0</v>
      </c>
      <c r="Y23" s="347">
        <f t="shared" si="5"/>
        <v>0</v>
      </c>
      <c r="Z23" s="16"/>
      <c r="AA23" s="11"/>
    </row>
    <row r="24" spans="1:27" s="2" customFormat="1" ht="30" x14ac:dyDescent="0.25">
      <c r="A24" s="42" t="s">
        <v>223</v>
      </c>
      <c r="B24" s="59">
        <v>3340</v>
      </c>
      <c r="C24" s="42" t="s">
        <v>121</v>
      </c>
      <c r="D24" s="94" t="s">
        <v>224</v>
      </c>
      <c r="E24" s="94"/>
      <c r="F24" s="93"/>
      <c r="G24" s="43" t="s">
        <v>341</v>
      </c>
      <c r="H24" s="5" t="s">
        <v>36</v>
      </c>
      <c r="I24" s="5" t="s">
        <v>35</v>
      </c>
      <c r="J24" s="5" t="s">
        <v>36</v>
      </c>
      <c r="K24" s="5" t="s">
        <v>35</v>
      </c>
      <c r="L24" s="5" t="s">
        <v>35</v>
      </c>
      <c r="M24" s="53">
        <v>3</v>
      </c>
      <c r="N24" s="43" t="s">
        <v>68</v>
      </c>
      <c r="O24" s="16">
        <v>-200000</v>
      </c>
      <c r="P24" s="8"/>
      <c r="Q24" s="9"/>
      <c r="R24" s="16">
        <f t="shared" si="0"/>
        <v>0</v>
      </c>
      <c r="S24" s="8">
        <f t="shared" si="1"/>
        <v>0</v>
      </c>
      <c r="T24" s="19">
        <f t="shared" si="2"/>
        <v>0</v>
      </c>
      <c r="U24" s="19">
        <f t="shared" si="3"/>
        <v>0</v>
      </c>
      <c r="V24" s="19">
        <f t="shared" si="4"/>
        <v>0</v>
      </c>
      <c r="W24" s="16">
        <f t="shared" si="5"/>
        <v>0</v>
      </c>
      <c r="X24" s="16">
        <f t="shared" si="5"/>
        <v>0</v>
      </c>
      <c r="Y24" s="347">
        <f t="shared" si="5"/>
        <v>0</v>
      </c>
      <c r="Z24" s="16"/>
      <c r="AA24" s="11"/>
    </row>
    <row r="25" spans="1:27" s="2" customFormat="1" ht="60" hidden="1" x14ac:dyDescent="0.25">
      <c r="A25" s="42" t="s">
        <v>246</v>
      </c>
      <c r="B25" s="59"/>
      <c r="C25" s="42" t="s">
        <v>61</v>
      </c>
      <c r="D25" s="43" t="s">
        <v>247</v>
      </c>
      <c r="E25" s="43"/>
      <c r="F25" s="85"/>
      <c r="G25" s="43"/>
      <c r="H25" s="5" t="s">
        <v>155</v>
      </c>
      <c r="I25" s="5" t="s">
        <v>35</v>
      </c>
      <c r="J25" s="5" t="s">
        <v>36</v>
      </c>
      <c r="K25" s="5" t="s">
        <v>35</v>
      </c>
      <c r="L25" s="5" t="s">
        <v>35</v>
      </c>
      <c r="M25" s="53">
        <v>1</v>
      </c>
      <c r="N25" s="43" t="s">
        <v>79</v>
      </c>
      <c r="O25" s="16"/>
      <c r="P25" s="8"/>
      <c r="Q25" s="9"/>
      <c r="R25" s="16">
        <f t="shared" si="0"/>
        <v>0</v>
      </c>
      <c r="S25" s="8">
        <f t="shared" si="1"/>
        <v>0</v>
      </c>
      <c r="T25" s="19">
        <f t="shared" si="2"/>
        <v>0</v>
      </c>
      <c r="U25" s="19">
        <f t="shared" si="3"/>
        <v>0</v>
      </c>
      <c r="V25" s="19">
        <f t="shared" si="4"/>
        <v>0</v>
      </c>
      <c r="W25" s="16">
        <f t="shared" si="5"/>
        <v>0</v>
      </c>
      <c r="X25" s="16">
        <f t="shared" si="5"/>
        <v>0</v>
      </c>
      <c r="Y25" s="347">
        <f t="shared" si="5"/>
        <v>0</v>
      </c>
      <c r="Z25" s="16"/>
      <c r="AA25" s="11"/>
    </row>
    <row r="26" spans="1:27" s="2" customFormat="1" ht="75" hidden="1" x14ac:dyDescent="0.25">
      <c r="A26" s="42" t="s">
        <v>106</v>
      </c>
      <c r="B26" s="59">
        <v>3341</v>
      </c>
      <c r="C26" s="42" t="s">
        <v>61</v>
      </c>
      <c r="D26" s="100" t="s">
        <v>107</v>
      </c>
      <c r="E26" s="100"/>
      <c r="F26" s="101"/>
      <c r="G26" s="43" t="s">
        <v>308</v>
      </c>
      <c r="H26" s="5" t="s">
        <v>36</v>
      </c>
      <c r="I26" s="5" t="s">
        <v>35</v>
      </c>
      <c r="J26" s="5" t="s">
        <v>34</v>
      </c>
      <c r="K26" s="5" t="s">
        <v>33</v>
      </c>
      <c r="L26" s="5" t="s">
        <v>35</v>
      </c>
      <c r="M26" s="52">
        <v>12</v>
      </c>
      <c r="N26" s="43" t="s">
        <v>79</v>
      </c>
      <c r="O26" s="16">
        <v>0</v>
      </c>
      <c r="P26" s="8"/>
      <c r="Q26" s="9"/>
      <c r="R26" s="16">
        <f t="shared" si="0"/>
        <v>0</v>
      </c>
      <c r="S26" s="8">
        <f t="shared" si="1"/>
        <v>0</v>
      </c>
      <c r="T26" s="19">
        <f t="shared" si="2"/>
        <v>0</v>
      </c>
      <c r="U26" s="19">
        <f t="shared" si="3"/>
        <v>0</v>
      </c>
      <c r="V26" s="19">
        <f t="shared" si="4"/>
        <v>0</v>
      </c>
      <c r="W26" s="16">
        <f t="shared" si="5"/>
        <v>0</v>
      </c>
      <c r="X26" s="16">
        <f t="shared" si="5"/>
        <v>0</v>
      </c>
      <c r="Y26" s="347">
        <f t="shared" si="5"/>
        <v>0</v>
      </c>
      <c r="Z26" s="16"/>
      <c r="AA26" s="11"/>
    </row>
    <row r="27" spans="1:27" s="2" customFormat="1" ht="60" hidden="1" x14ac:dyDescent="0.25">
      <c r="A27" s="42" t="s">
        <v>60</v>
      </c>
      <c r="B27" s="59">
        <v>3342</v>
      </c>
      <c r="C27" s="42" t="s">
        <v>61</v>
      </c>
      <c r="D27" s="89" t="s">
        <v>62</v>
      </c>
      <c r="E27" s="89"/>
      <c r="F27" s="88"/>
      <c r="G27" s="43" t="s">
        <v>63</v>
      </c>
      <c r="H27" s="5" t="s">
        <v>36</v>
      </c>
      <c r="I27" s="5" t="s">
        <v>35</v>
      </c>
      <c r="J27" s="5" t="s">
        <v>35</v>
      </c>
      <c r="K27" s="5" t="s">
        <v>64</v>
      </c>
      <c r="L27" s="5" t="s">
        <v>35</v>
      </c>
      <c r="M27" s="51">
        <v>40</v>
      </c>
      <c r="N27" s="43" t="s">
        <v>65</v>
      </c>
      <c r="O27" s="16">
        <v>0</v>
      </c>
      <c r="P27" s="8"/>
      <c r="Q27" s="9">
        <v>0.5</v>
      </c>
      <c r="R27" s="16">
        <f t="shared" si="0"/>
        <v>0</v>
      </c>
      <c r="S27" s="8">
        <f t="shared" si="1"/>
        <v>0</v>
      </c>
      <c r="T27" s="19">
        <f t="shared" si="2"/>
        <v>0.375</v>
      </c>
      <c r="U27" s="19">
        <f t="shared" si="3"/>
        <v>0.625</v>
      </c>
      <c r="V27" s="19">
        <f t="shared" si="4"/>
        <v>7.216878364870323E-2</v>
      </c>
      <c r="W27" s="16">
        <f t="shared" si="5"/>
        <v>0</v>
      </c>
      <c r="X27" s="16">
        <f t="shared" si="5"/>
        <v>0</v>
      </c>
      <c r="Y27" s="347">
        <f t="shared" si="5"/>
        <v>0</v>
      </c>
      <c r="Z27" s="16"/>
      <c r="AA27" s="11"/>
    </row>
    <row r="28" spans="1:27" s="2" customFormat="1" ht="30" x14ac:dyDescent="0.25">
      <c r="A28" s="42" t="s">
        <v>126</v>
      </c>
      <c r="B28" s="59">
        <v>3343</v>
      </c>
      <c r="C28" s="42" t="s">
        <v>121</v>
      </c>
      <c r="D28" s="94" t="s">
        <v>127</v>
      </c>
      <c r="E28" s="94"/>
      <c r="F28" s="93"/>
      <c r="G28" s="43" t="s">
        <v>341</v>
      </c>
      <c r="H28" s="5" t="s">
        <v>33</v>
      </c>
      <c r="I28" s="5" t="s">
        <v>35</v>
      </c>
      <c r="J28" s="5" t="s">
        <v>33</v>
      </c>
      <c r="K28" s="5" t="s">
        <v>35</v>
      </c>
      <c r="L28" s="5" t="s">
        <v>35</v>
      </c>
      <c r="M28" s="52">
        <v>10</v>
      </c>
      <c r="N28" s="43" t="s">
        <v>65</v>
      </c>
      <c r="O28" s="16">
        <v>-1000000</v>
      </c>
      <c r="P28" s="8"/>
      <c r="Q28" s="9">
        <v>0.5</v>
      </c>
      <c r="R28" s="16">
        <f t="shared" si="0"/>
        <v>-500000</v>
      </c>
      <c r="S28" s="8">
        <f t="shared" si="1"/>
        <v>0</v>
      </c>
      <c r="T28" s="19">
        <f t="shared" si="2"/>
        <v>0.375</v>
      </c>
      <c r="U28" s="19">
        <f t="shared" si="3"/>
        <v>0.625</v>
      </c>
      <c r="V28" s="19">
        <f t="shared" si="4"/>
        <v>7.216878364870323E-2</v>
      </c>
      <c r="W28" s="16">
        <f t="shared" si="5"/>
        <v>-576926.6345200442</v>
      </c>
      <c r="X28" s="16">
        <f t="shared" si="5"/>
        <v>-595159.58346444264</v>
      </c>
      <c r="Y28" s="347">
        <f t="shared" si="5"/>
        <v>-622135.88300221483</v>
      </c>
      <c r="Z28" s="16"/>
      <c r="AA28" s="11"/>
    </row>
    <row r="29" spans="1:27" s="2" customFormat="1" ht="30" hidden="1" x14ac:dyDescent="0.25">
      <c r="A29" s="42" t="s">
        <v>102</v>
      </c>
      <c r="B29" s="59"/>
      <c r="C29" s="42" t="s">
        <v>61</v>
      </c>
      <c r="D29" s="89" t="s">
        <v>103</v>
      </c>
      <c r="E29" s="89"/>
      <c r="F29" s="88"/>
      <c r="G29" s="43" t="s">
        <v>63</v>
      </c>
      <c r="H29" s="5" t="s">
        <v>155</v>
      </c>
      <c r="I29" s="5" t="s">
        <v>35</v>
      </c>
      <c r="J29" s="5" t="s">
        <v>35</v>
      </c>
      <c r="K29" s="5" t="s">
        <v>34</v>
      </c>
      <c r="L29" s="5" t="s">
        <v>35</v>
      </c>
      <c r="M29" s="53">
        <v>4</v>
      </c>
      <c r="N29" s="43" t="s">
        <v>104</v>
      </c>
      <c r="O29" s="16"/>
      <c r="P29" s="8"/>
      <c r="Q29" s="9"/>
      <c r="R29" s="16">
        <f t="shared" si="0"/>
        <v>0</v>
      </c>
      <c r="S29" s="8">
        <f t="shared" si="1"/>
        <v>0</v>
      </c>
      <c r="T29" s="19">
        <f t="shared" si="2"/>
        <v>0</v>
      </c>
      <c r="U29" s="19">
        <f t="shared" si="3"/>
        <v>0</v>
      </c>
      <c r="V29" s="19">
        <f t="shared" si="4"/>
        <v>0</v>
      </c>
      <c r="W29" s="16">
        <f t="shared" si="5"/>
        <v>0</v>
      </c>
      <c r="X29" s="16">
        <f t="shared" si="5"/>
        <v>0</v>
      </c>
      <c r="Y29" s="347">
        <f t="shared" si="5"/>
        <v>0</v>
      </c>
      <c r="Z29" s="16"/>
      <c r="AA29" s="11"/>
    </row>
    <row r="30" spans="1:27" s="2" customFormat="1" ht="30" hidden="1" x14ac:dyDescent="0.25">
      <c r="A30" s="42" t="s">
        <v>165</v>
      </c>
      <c r="B30" s="59">
        <v>3344</v>
      </c>
      <c r="C30" s="42" t="s">
        <v>61</v>
      </c>
      <c r="D30" s="43" t="s">
        <v>166</v>
      </c>
      <c r="E30" s="43" t="s">
        <v>344</v>
      </c>
      <c r="F30" s="85"/>
      <c r="G30" s="43"/>
      <c r="H30" s="5" t="s">
        <v>36</v>
      </c>
      <c r="I30" s="5" t="s">
        <v>35</v>
      </c>
      <c r="J30" s="5" t="s">
        <v>33</v>
      </c>
      <c r="K30" s="5" t="s">
        <v>35</v>
      </c>
      <c r="L30" s="5" t="s">
        <v>35</v>
      </c>
      <c r="M30" s="52">
        <v>6</v>
      </c>
      <c r="N30" s="43" t="s">
        <v>167</v>
      </c>
      <c r="O30" s="71">
        <v>175000</v>
      </c>
      <c r="P30" s="8"/>
      <c r="Q30" s="9">
        <v>0.1</v>
      </c>
      <c r="R30" s="16">
        <f t="shared" si="0"/>
        <v>17500</v>
      </c>
      <c r="S30" s="8">
        <f t="shared" si="1"/>
        <v>0</v>
      </c>
      <c r="T30" s="19">
        <f t="shared" si="2"/>
        <v>-2.4999999999999994E-2</v>
      </c>
      <c r="U30" s="19">
        <f t="shared" si="3"/>
        <v>0.22500000000000001</v>
      </c>
      <c r="V30" s="19">
        <f t="shared" si="4"/>
        <v>7.216878364870323E-2</v>
      </c>
      <c r="W30" s="16">
        <f t="shared" si="5"/>
        <v>20192.43220820155</v>
      </c>
      <c r="X30" s="16">
        <f t="shared" si="5"/>
        <v>20830.585421255491</v>
      </c>
      <c r="Y30" s="347">
        <f t="shared" si="5"/>
        <v>21774.75590507752</v>
      </c>
      <c r="Z30" s="16"/>
      <c r="AA30" s="11"/>
    </row>
    <row r="31" spans="1:27" s="2" customFormat="1" ht="45" hidden="1" x14ac:dyDescent="0.25">
      <c r="A31" s="42" t="s">
        <v>221</v>
      </c>
      <c r="B31" s="59"/>
      <c r="C31" s="42" t="s">
        <v>61</v>
      </c>
      <c r="D31" s="89" t="s">
        <v>222</v>
      </c>
      <c r="E31" s="89"/>
      <c r="F31" s="88"/>
      <c r="G31" s="43" t="s">
        <v>63</v>
      </c>
      <c r="H31" s="5" t="s">
        <v>36</v>
      </c>
      <c r="I31" s="5" t="s">
        <v>35</v>
      </c>
      <c r="J31" s="5" t="s">
        <v>35</v>
      </c>
      <c r="K31" s="5" t="s">
        <v>36</v>
      </c>
      <c r="L31" s="5" t="s">
        <v>35</v>
      </c>
      <c r="M31" s="53">
        <v>3</v>
      </c>
      <c r="N31" s="43" t="s">
        <v>167</v>
      </c>
      <c r="O31" s="16"/>
      <c r="P31" s="8"/>
      <c r="Q31" s="15"/>
      <c r="R31" s="16">
        <f t="shared" si="0"/>
        <v>0</v>
      </c>
      <c r="S31" s="8">
        <f t="shared" si="1"/>
        <v>0</v>
      </c>
      <c r="T31" s="19">
        <f t="shared" si="2"/>
        <v>0</v>
      </c>
      <c r="U31" s="19">
        <f t="shared" si="3"/>
        <v>0</v>
      </c>
      <c r="V31" s="19">
        <f t="shared" si="4"/>
        <v>0</v>
      </c>
      <c r="W31" s="16">
        <f t="shared" si="5"/>
        <v>0</v>
      </c>
      <c r="X31" s="16">
        <f t="shared" si="5"/>
        <v>0</v>
      </c>
      <c r="Y31" s="347">
        <f t="shared" si="5"/>
        <v>0</v>
      </c>
      <c r="Z31" s="16"/>
      <c r="AA31" s="11"/>
    </row>
    <row r="32" spans="1:27" s="2" customFormat="1" ht="90" hidden="1" x14ac:dyDescent="0.25">
      <c r="A32" s="42" t="s">
        <v>156</v>
      </c>
      <c r="B32" s="59">
        <v>3345</v>
      </c>
      <c r="C32" s="42" t="s">
        <v>61</v>
      </c>
      <c r="D32" s="44" t="s">
        <v>19</v>
      </c>
      <c r="E32" s="44"/>
      <c r="F32" s="86"/>
      <c r="G32" s="43" t="s">
        <v>253</v>
      </c>
      <c r="H32" s="5" t="s">
        <v>155</v>
      </c>
      <c r="I32" s="5" t="s">
        <v>35</v>
      </c>
      <c r="J32" s="5" t="s">
        <v>35</v>
      </c>
      <c r="K32" s="5" t="s">
        <v>64</v>
      </c>
      <c r="L32" s="5" t="s">
        <v>35</v>
      </c>
      <c r="M32" s="52">
        <v>8</v>
      </c>
      <c r="N32" s="43" t="s">
        <v>20</v>
      </c>
      <c r="O32" s="16">
        <v>0</v>
      </c>
      <c r="P32" s="8"/>
      <c r="Q32" s="15">
        <v>0.05</v>
      </c>
      <c r="R32" s="16">
        <f t="shared" si="0"/>
        <v>0</v>
      </c>
      <c r="S32" s="8">
        <f t="shared" si="1"/>
        <v>0</v>
      </c>
      <c r="T32" s="19">
        <f t="shared" si="2"/>
        <v>-7.4999999999999997E-2</v>
      </c>
      <c r="U32" s="19">
        <f t="shared" si="3"/>
        <v>0.17499999999999999</v>
      </c>
      <c r="V32" s="19">
        <f t="shared" si="4"/>
        <v>7.216878364870323E-2</v>
      </c>
      <c r="W32" s="16">
        <f t="shared" si="5"/>
        <v>0</v>
      </c>
      <c r="X32" s="16">
        <f t="shared" si="5"/>
        <v>0</v>
      </c>
      <c r="Y32" s="347">
        <f t="shared" si="5"/>
        <v>0</v>
      </c>
      <c r="Z32" s="16"/>
      <c r="AA32" s="11"/>
    </row>
    <row r="33" spans="1:27" s="2" customFormat="1" ht="30" hidden="1" x14ac:dyDescent="0.25">
      <c r="A33" s="42" t="s">
        <v>254</v>
      </c>
      <c r="B33" s="59"/>
      <c r="C33" s="42" t="s">
        <v>61</v>
      </c>
      <c r="D33" s="44" t="s">
        <v>255</v>
      </c>
      <c r="E33" s="44"/>
      <c r="F33" s="86"/>
      <c r="G33" s="43" t="s">
        <v>253</v>
      </c>
      <c r="H33" s="5" t="s">
        <v>155</v>
      </c>
      <c r="I33" s="5" t="s">
        <v>35</v>
      </c>
      <c r="J33" s="5" t="s">
        <v>35</v>
      </c>
      <c r="K33" s="5" t="s">
        <v>64</v>
      </c>
      <c r="L33" s="5" t="s">
        <v>35</v>
      </c>
      <c r="M33" s="5">
        <v>0</v>
      </c>
      <c r="N33" s="43" t="s">
        <v>20</v>
      </c>
      <c r="O33" s="16"/>
      <c r="P33" s="8"/>
      <c r="Q33" s="15"/>
      <c r="R33" s="16">
        <f t="shared" si="0"/>
        <v>0</v>
      </c>
      <c r="S33" s="8">
        <f t="shared" si="1"/>
        <v>0</v>
      </c>
      <c r="T33" s="19">
        <f t="shared" si="2"/>
        <v>0</v>
      </c>
      <c r="U33" s="19">
        <f t="shared" si="3"/>
        <v>0</v>
      </c>
      <c r="V33" s="19">
        <f t="shared" si="4"/>
        <v>0</v>
      </c>
      <c r="W33" s="16">
        <f t="shared" si="5"/>
        <v>0</v>
      </c>
      <c r="X33" s="16">
        <f t="shared" si="5"/>
        <v>0</v>
      </c>
      <c r="Y33" s="347">
        <f t="shared" si="5"/>
        <v>0</v>
      </c>
      <c r="Z33" s="16"/>
      <c r="AA33" s="11"/>
    </row>
    <row r="34" spans="1:27" s="2" customFormat="1" ht="30" hidden="1" x14ac:dyDescent="0.25">
      <c r="A34" s="42" t="s">
        <v>180</v>
      </c>
      <c r="B34" s="59">
        <v>3346</v>
      </c>
      <c r="C34" s="42" t="s">
        <v>61</v>
      </c>
      <c r="D34" s="43" t="s">
        <v>181</v>
      </c>
      <c r="E34" s="43"/>
      <c r="F34" s="85"/>
      <c r="G34" s="43"/>
      <c r="H34" s="5" t="s">
        <v>36</v>
      </c>
      <c r="I34" s="5" t="s">
        <v>35</v>
      </c>
      <c r="J34" s="5" t="s">
        <v>35</v>
      </c>
      <c r="K34" s="5" t="s">
        <v>33</v>
      </c>
      <c r="L34" s="5" t="s">
        <v>35</v>
      </c>
      <c r="M34" s="52">
        <v>6</v>
      </c>
      <c r="N34" s="43" t="s">
        <v>2</v>
      </c>
      <c r="O34" s="16">
        <v>0</v>
      </c>
      <c r="P34" s="8"/>
      <c r="Q34" s="15">
        <v>0.17</v>
      </c>
      <c r="R34" s="16">
        <f t="shared" si="0"/>
        <v>0</v>
      </c>
      <c r="S34" s="8">
        <f t="shared" si="1"/>
        <v>0</v>
      </c>
      <c r="T34" s="19">
        <f t="shared" si="2"/>
        <v>4.5000000000000012E-2</v>
      </c>
      <c r="U34" s="19">
        <f t="shared" si="3"/>
        <v>0.29500000000000004</v>
      </c>
      <c r="V34" s="19">
        <f t="shared" si="4"/>
        <v>7.216878364870323E-2</v>
      </c>
      <c r="W34" s="16">
        <f t="shared" si="5"/>
        <v>0</v>
      </c>
      <c r="X34" s="16">
        <f t="shared" si="5"/>
        <v>0</v>
      </c>
      <c r="Y34" s="347">
        <f t="shared" si="5"/>
        <v>0</v>
      </c>
      <c r="Z34" s="16"/>
      <c r="AA34" s="11"/>
    </row>
    <row r="35" spans="1:27" s="2" customFormat="1" ht="45" hidden="1" x14ac:dyDescent="0.25">
      <c r="A35" s="42" t="s">
        <v>293</v>
      </c>
      <c r="B35" s="59"/>
      <c r="C35" s="42" t="s">
        <v>61</v>
      </c>
      <c r="D35" s="44" t="s">
        <v>294</v>
      </c>
      <c r="E35" s="44"/>
      <c r="F35" s="86"/>
      <c r="G35" s="43" t="s">
        <v>253</v>
      </c>
      <c r="H35" s="5" t="s">
        <v>36</v>
      </c>
      <c r="I35" s="5" t="s">
        <v>36</v>
      </c>
      <c r="J35" s="5" t="s">
        <v>64</v>
      </c>
      <c r="K35" s="5" t="s">
        <v>155</v>
      </c>
      <c r="L35" s="5" t="s">
        <v>35</v>
      </c>
      <c r="M35" s="5">
        <v>0</v>
      </c>
      <c r="N35" s="43" t="s">
        <v>2</v>
      </c>
      <c r="O35" s="16"/>
      <c r="P35" s="8"/>
      <c r="Q35" s="15"/>
      <c r="R35" s="16">
        <f t="shared" si="0"/>
        <v>0</v>
      </c>
      <c r="S35" s="8">
        <f t="shared" si="1"/>
        <v>0</v>
      </c>
      <c r="T35" s="19">
        <f t="shared" si="2"/>
        <v>0</v>
      </c>
      <c r="U35" s="19">
        <f t="shared" si="3"/>
        <v>0</v>
      </c>
      <c r="V35" s="19">
        <f t="shared" si="4"/>
        <v>0</v>
      </c>
      <c r="W35" s="16">
        <f t="shared" si="5"/>
        <v>0</v>
      </c>
      <c r="X35" s="16">
        <f t="shared" si="5"/>
        <v>0</v>
      </c>
      <c r="Y35" s="347">
        <f t="shared" si="5"/>
        <v>0</v>
      </c>
      <c r="Z35" s="16"/>
      <c r="AA35" s="11"/>
    </row>
    <row r="36" spans="1:27" s="2" customFormat="1" ht="30" hidden="1" x14ac:dyDescent="0.25">
      <c r="A36" s="42" t="s">
        <v>117</v>
      </c>
      <c r="B36" s="59">
        <v>3347</v>
      </c>
      <c r="C36" s="42" t="s">
        <v>61</v>
      </c>
      <c r="D36" s="54" t="s">
        <v>300</v>
      </c>
      <c r="E36" s="54"/>
      <c r="F36" s="87"/>
      <c r="G36" s="43"/>
      <c r="H36" s="5" t="s">
        <v>33</v>
      </c>
      <c r="I36" s="5" t="s">
        <v>35</v>
      </c>
      <c r="J36" s="5" t="s">
        <v>34</v>
      </c>
      <c r="K36" s="5" t="s">
        <v>34</v>
      </c>
      <c r="L36" s="5" t="s">
        <v>35</v>
      </c>
      <c r="M36" s="51">
        <v>24</v>
      </c>
      <c r="N36" s="54" t="s">
        <v>301</v>
      </c>
      <c r="O36" s="56">
        <v>1000000</v>
      </c>
      <c r="P36" s="8"/>
      <c r="Q36" s="15">
        <v>0.5</v>
      </c>
      <c r="R36" s="16">
        <f t="shared" si="0"/>
        <v>500000</v>
      </c>
      <c r="S36" s="8">
        <f t="shared" si="1"/>
        <v>0</v>
      </c>
      <c r="T36" s="19">
        <f t="shared" si="2"/>
        <v>0.375</v>
      </c>
      <c r="U36" s="19">
        <f t="shared" si="3"/>
        <v>0.625</v>
      </c>
      <c r="V36" s="19">
        <f t="shared" si="4"/>
        <v>7.216878364870323E-2</v>
      </c>
      <c r="W36" s="16">
        <f t="shared" si="5"/>
        <v>576926.6345200442</v>
      </c>
      <c r="X36" s="16">
        <f t="shared" si="5"/>
        <v>595159.58346444264</v>
      </c>
      <c r="Y36" s="347">
        <f t="shared" si="5"/>
        <v>622135.88300221483</v>
      </c>
      <c r="Z36" s="16"/>
      <c r="AA36" s="11"/>
    </row>
    <row r="37" spans="1:27" s="2" customFormat="1" ht="30" hidden="1" x14ac:dyDescent="0.25">
      <c r="A37" s="42" t="s">
        <v>187</v>
      </c>
      <c r="B37" s="59">
        <v>3348</v>
      </c>
      <c r="C37" s="42" t="s">
        <v>61</v>
      </c>
      <c r="D37" s="89" t="s">
        <v>188</v>
      </c>
      <c r="E37" s="89"/>
      <c r="F37" s="88"/>
      <c r="G37" s="43" t="s">
        <v>63</v>
      </c>
      <c r="H37" s="5" t="s">
        <v>36</v>
      </c>
      <c r="I37" s="5" t="s">
        <v>35</v>
      </c>
      <c r="J37" s="5" t="s">
        <v>35</v>
      </c>
      <c r="K37" s="5" t="s">
        <v>36</v>
      </c>
      <c r="L37" s="5" t="s">
        <v>35</v>
      </c>
      <c r="M37" s="52">
        <v>6</v>
      </c>
      <c r="N37" s="43" t="s">
        <v>93</v>
      </c>
      <c r="O37" s="16">
        <v>0</v>
      </c>
      <c r="P37" s="8"/>
      <c r="Q37" s="15">
        <v>0.17</v>
      </c>
      <c r="R37" s="16">
        <f t="shared" si="0"/>
        <v>0</v>
      </c>
      <c r="S37" s="8">
        <f t="shared" si="1"/>
        <v>0</v>
      </c>
      <c r="T37" s="19">
        <f t="shared" si="2"/>
        <v>4.5000000000000012E-2</v>
      </c>
      <c r="U37" s="19">
        <f t="shared" si="3"/>
        <v>0.29500000000000004</v>
      </c>
      <c r="V37" s="19">
        <f t="shared" si="4"/>
        <v>7.216878364870323E-2</v>
      </c>
      <c r="W37" s="16">
        <f t="shared" si="5"/>
        <v>0</v>
      </c>
      <c r="X37" s="16">
        <f t="shared" si="5"/>
        <v>0</v>
      </c>
      <c r="Y37" s="347">
        <f t="shared" si="5"/>
        <v>0</v>
      </c>
      <c r="Z37" s="16"/>
      <c r="AA37" s="11"/>
    </row>
    <row r="38" spans="1:27" s="2" customFormat="1" ht="63" hidden="1" customHeight="1" x14ac:dyDescent="0.25">
      <c r="A38" s="42" t="s">
        <v>329</v>
      </c>
      <c r="B38" s="59" t="s">
        <v>333</v>
      </c>
      <c r="C38" s="42" t="s">
        <v>61</v>
      </c>
      <c r="D38" s="84" t="s">
        <v>330</v>
      </c>
      <c r="E38" s="43"/>
      <c r="F38" s="85">
        <v>100000</v>
      </c>
      <c r="G38" s="43"/>
      <c r="H38" s="5" t="s">
        <v>33</v>
      </c>
      <c r="I38" s="5" t="s">
        <v>33</v>
      </c>
      <c r="J38" s="5" t="s">
        <v>35</v>
      </c>
      <c r="K38" s="5" t="s">
        <v>34</v>
      </c>
      <c r="L38" s="5" t="s">
        <v>35</v>
      </c>
      <c r="M38" s="52"/>
      <c r="N38" s="43" t="s">
        <v>331</v>
      </c>
      <c r="O38" s="16"/>
      <c r="P38" s="8"/>
      <c r="Q38" s="15"/>
      <c r="R38" s="16"/>
      <c r="S38" s="8"/>
      <c r="T38" s="19"/>
      <c r="U38" s="19"/>
      <c r="V38" s="19"/>
      <c r="W38" s="16"/>
      <c r="X38" s="16"/>
      <c r="Y38" s="347"/>
      <c r="Z38" s="16"/>
      <c r="AA38" s="11"/>
    </row>
    <row r="39" spans="1:27" s="2" customFormat="1" ht="30" hidden="1" x14ac:dyDescent="0.25">
      <c r="A39" s="42" t="s">
        <v>162</v>
      </c>
      <c r="B39" s="59">
        <v>3349</v>
      </c>
      <c r="C39" s="42" t="s">
        <v>61</v>
      </c>
      <c r="D39" s="89" t="s">
        <v>163</v>
      </c>
      <c r="E39" s="89"/>
      <c r="F39" s="88">
        <v>50000</v>
      </c>
      <c r="G39" s="43" t="s">
        <v>63</v>
      </c>
      <c r="H39" s="5" t="s">
        <v>36</v>
      </c>
      <c r="I39" s="5" t="s">
        <v>35</v>
      </c>
      <c r="J39" s="5" t="s">
        <v>35</v>
      </c>
      <c r="K39" s="5" t="s">
        <v>33</v>
      </c>
      <c r="L39" s="5" t="s">
        <v>35</v>
      </c>
      <c r="M39" s="52">
        <v>6</v>
      </c>
      <c r="N39" s="43" t="s">
        <v>93</v>
      </c>
      <c r="O39" s="16">
        <v>0</v>
      </c>
      <c r="P39" s="8"/>
      <c r="Q39" s="15">
        <v>0.17</v>
      </c>
      <c r="R39" s="16">
        <f t="shared" ref="R39:R70" si="6">O39*Q39</f>
        <v>0</v>
      </c>
      <c r="S39" s="8">
        <f t="shared" ref="S39:S70" si="7">P39*Q39</f>
        <v>0</v>
      </c>
      <c r="T39" s="19">
        <f t="shared" ref="T39:T70" si="8">IF($Q39=0,0, IF($Q39 = 100%, 100%,$Q39-12.5%))* IF($T$1="Y", 1, IF($O39&lt;0,0,1))</f>
        <v>4.5000000000000012E-2</v>
      </c>
      <c r="U39" s="19">
        <f t="shared" ref="U39:U70" si="9">IF($Q39=0,0, IF($Q39 = 100%, 100%,$Q39+12.5%))* IF($T$1="Y", 1, IF($O39&lt;0,0,1))</f>
        <v>0.29500000000000004</v>
      </c>
      <c r="V39" s="19">
        <f t="shared" ref="V39:V70" si="10">(U39-T39)/SQRT(12)</f>
        <v>7.216878364870323E-2</v>
      </c>
      <c r="W39" s="16">
        <f t="shared" ref="W39:Y58" si="11">W$121*$R39/$R$121  *  IF($T$1="Y", 1, IF($O39&lt;0,0,1))</f>
        <v>0</v>
      </c>
      <c r="X39" s="16">
        <f t="shared" si="11"/>
        <v>0</v>
      </c>
      <c r="Y39" s="347">
        <f t="shared" si="11"/>
        <v>0</v>
      </c>
      <c r="Z39" s="16"/>
      <c r="AA39" s="11"/>
    </row>
    <row r="40" spans="1:27" s="2" customFormat="1" ht="45" hidden="1" x14ac:dyDescent="0.25">
      <c r="A40" s="42" t="s">
        <v>225</v>
      </c>
      <c r="B40" s="59"/>
      <c r="C40" s="42" t="s">
        <v>61</v>
      </c>
      <c r="D40" s="43" t="s">
        <v>226</v>
      </c>
      <c r="E40" s="43"/>
      <c r="F40" s="85"/>
      <c r="G40" s="43"/>
      <c r="H40" s="5" t="s">
        <v>36</v>
      </c>
      <c r="I40" s="5" t="s">
        <v>35</v>
      </c>
      <c r="J40" s="5" t="s">
        <v>36</v>
      </c>
      <c r="K40" s="5" t="s">
        <v>35</v>
      </c>
      <c r="L40" s="5" t="s">
        <v>35</v>
      </c>
      <c r="M40" s="53">
        <v>3</v>
      </c>
      <c r="N40" s="43" t="s">
        <v>130</v>
      </c>
      <c r="O40" s="16"/>
      <c r="P40" s="8"/>
      <c r="Q40" s="15"/>
      <c r="R40" s="16">
        <f t="shared" si="6"/>
        <v>0</v>
      </c>
      <c r="S40" s="8">
        <f t="shared" si="7"/>
        <v>0</v>
      </c>
      <c r="T40" s="19">
        <f t="shared" si="8"/>
        <v>0</v>
      </c>
      <c r="U40" s="19">
        <f t="shared" si="9"/>
        <v>0</v>
      </c>
      <c r="V40" s="19">
        <f t="shared" si="10"/>
        <v>0</v>
      </c>
      <c r="W40" s="16">
        <f t="shared" si="11"/>
        <v>0</v>
      </c>
      <c r="X40" s="16">
        <f t="shared" si="11"/>
        <v>0</v>
      </c>
      <c r="Y40" s="347">
        <f t="shared" si="11"/>
        <v>0</v>
      </c>
      <c r="Z40" s="16"/>
      <c r="AA40" s="11"/>
    </row>
    <row r="41" spans="1:27" s="2" customFormat="1" ht="45" hidden="1" x14ac:dyDescent="0.25">
      <c r="A41" s="42" t="s">
        <v>23</v>
      </c>
      <c r="B41" s="59">
        <v>3350</v>
      </c>
      <c r="C41" s="42" t="s">
        <v>61</v>
      </c>
      <c r="D41" s="43" t="s">
        <v>24</v>
      </c>
      <c r="E41" s="43" t="s">
        <v>345</v>
      </c>
      <c r="F41" s="85"/>
      <c r="G41" s="43"/>
      <c r="H41" s="5" t="s">
        <v>155</v>
      </c>
      <c r="I41" s="75" t="s">
        <v>33</v>
      </c>
      <c r="J41" s="5" t="s">
        <v>33</v>
      </c>
      <c r="K41" s="5" t="s">
        <v>35</v>
      </c>
      <c r="L41" s="75" t="s">
        <v>64</v>
      </c>
      <c r="M41" s="52">
        <v>8</v>
      </c>
      <c r="N41" s="43" t="s">
        <v>130</v>
      </c>
      <c r="O41" s="71">
        <v>100000</v>
      </c>
      <c r="P41" s="8"/>
      <c r="Q41" s="15">
        <v>0.05</v>
      </c>
      <c r="R41" s="16">
        <f t="shared" si="6"/>
        <v>5000</v>
      </c>
      <c r="S41" s="8">
        <f t="shared" si="7"/>
        <v>0</v>
      </c>
      <c r="T41" s="19">
        <f t="shared" si="8"/>
        <v>-7.4999999999999997E-2</v>
      </c>
      <c r="U41" s="19">
        <f t="shared" si="9"/>
        <v>0.17499999999999999</v>
      </c>
      <c r="V41" s="19">
        <f t="shared" si="10"/>
        <v>7.216878364870323E-2</v>
      </c>
      <c r="W41" s="16">
        <f t="shared" si="11"/>
        <v>5769.2663452004426</v>
      </c>
      <c r="X41" s="16">
        <f t="shared" si="11"/>
        <v>5951.5958346444268</v>
      </c>
      <c r="Y41" s="347">
        <f t="shared" si="11"/>
        <v>6221.358830022149</v>
      </c>
      <c r="Z41" s="16"/>
      <c r="AA41" s="11"/>
    </row>
    <row r="42" spans="1:27" s="2" customFormat="1" ht="45" hidden="1" x14ac:dyDescent="0.25">
      <c r="A42" s="42" t="s">
        <v>128</v>
      </c>
      <c r="B42" s="59">
        <v>3351</v>
      </c>
      <c r="C42" s="42" t="s">
        <v>121</v>
      </c>
      <c r="D42" s="43" t="s">
        <v>129</v>
      </c>
      <c r="E42" s="43" t="s">
        <v>313</v>
      </c>
      <c r="F42" s="85"/>
      <c r="G42" s="43"/>
      <c r="H42" s="5" t="s">
        <v>33</v>
      </c>
      <c r="I42" s="5" t="s">
        <v>35</v>
      </c>
      <c r="J42" s="5" t="s">
        <v>33</v>
      </c>
      <c r="K42" s="5" t="s">
        <v>35</v>
      </c>
      <c r="L42" s="5" t="s">
        <v>35</v>
      </c>
      <c r="M42" s="52">
        <v>10</v>
      </c>
      <c r="N42" s="43" t="s">
        <v>130</v>
      </c>
      <c r="O42" s="16">
        <v>-1200000</v>
      </c>
      <c r="P42" s="8"/>
      <c r="Q42" s="15">
        <v>0.5</v>
      </c>
      <c r="R42" s="16">
        <f t="shared" si="6"/>
        <v>-600000</v>
      </c>
      <c r="S42" s="8">
        <f t="shared" si="7"/>
        <v>0</v>
      </c>
      <c r="T42" s="19">
        <f t="shared" si="8"/>
        <v>0.375</v>
      </c>
      <c r="U42" s="19">
        <f t="shared" si="9"/>
        <v>0.625</v>
      </c>
      <c r="V42" s="19">
        <f t="shared" si="10"/>
        <v>7.216878364870323E-2</v>
      </c>
      <c r="W42" s="16">
        <f t="shared" si="11"/>
        <v>-692311.96142405306</v>
      </c>
      <c r="X42" s="16">
        <f t="shared" si="11"/>
        <v>-714191.50015733112</v>
      </c>
      <c r="Y42" s="347">
        <f t="shared" si="11"/>
        <v>-746563.05960265792</v>
      </c>
      <c r="Z42" s="16"/>
      <c r="AA42" s="11"/>
    </row>
    <row r="43" spans="1:27" s="2" customFormat="1" ht="45" hidden="1" x14ac:dyDescent="0.25">
      <c r="A43" s="42" t="s">
        <v>189</v>
      </c>
      <c r="B43" s="59">
        <v>3352</v>
      </c>
      <c r="C43" s="42" t="s">
        <v>61</v>
      </c>
      <c r="D43" s="43" t="s">
        <v>190</v>
      </c>
      <c r="E43" s="43" t="s">
        <v>313</v>
      </c>
      <c r="F43" s="85"/>
      <c r="G43" s="43"/>
      <c r="H43" s="5" t="s">
        <v>36</v>
      </c>
      <c r="I43" s="5" t="s">
        <v>35</v>
      </c>
      <c r="J43" s="5" t="s">
        <v>33</v>
      </c>
      <c r="K43" s="5" t="s">
        <v>35</v>
      </c>
      <c r="L43" s="5" t="s">
        <v>35</v>
      </c>
      <c r="M43" s="52">
        <v>6</v>
      </c>
      <c r="N43" s="43" t="s">
        <v>130</v>
      </c>
      <c r="O43" s="71">
        <v>1200000</v>
      </c>
      <c r="P43" s="8"/>
      <c r="Q43" s="15">
        <v>0.1</v>
      </c>
      <c r="R43" s="16">
        <f t="shared" si="6"/>
        <v>120000</v>
      </c>
      <c r="S43" s="8">
        <f t="shared" si="7"/>
        <v>0</v>
      </c>
      <c r="T43" s="19">
        <f t="shared" si="8"/>
        <v>-2.4999999999999994E-2</v>
      </c>
      <c r="U43" s="19">
        <f t="shared" si="9"/>
        <v>0.22500000000000001</v>
      </c>
      <c r="V43" s="19">
        <f t="shared" si="10"/>
        <v>7.216878364870323E-2</v>
      </c>
      <c r="W43" s="16">
        <f t="shared" si="11"/>
        <v>138462.3922848106</v>
      </c>
      <c r="X43" s="16">
        <f t="shared" si="11"/>
        <v>142838.30003146623</v>
      </c>
      <c r="Y43" s="347">
        <f t="shared" si="11"/>
        <v>149312.61192053158</v>
      </c>
      <c r="Z43" s="16"/>
      <c r="AA43" s="11"/>
    </row>
    <row r="44" spans="1:27" s="2" customFormat="1" ht="60" hidden="1" x14ac:dyDescent="0.25">
      <c r="A44" s="42" t="s">
        <v>248</v>
      </c>
      <c r="B44" s="59"/>
      <c r="C44" s="42" t="s">
        <v>61</v>
      </c>
      <c r="D44" s="43" t="s">
        <v>249</v>
      </c>
      <c r="E44" s="43"/>
      <c r="F44" s="85"/>
      <c r="G44" s="43"/>
      <c r="H44" s="5" t="s">
        <v>155</v>
      </c>
      <c r="I44" s="5" t="s">
        <v>35</v>
      </c>
      <c r="J44" s="5" t="s">
        <v>36</v>
      </c>
      <c r="K44" s="5" t="s">
        <v>35</v>
      </c>
      <c r="L44" s="5" t="s">
        <v>35</v>
      </c>
      <c r="M44" s="53">
        <v>1</v>
      </c>
      <c r="N44" s="43" t="s">
        <v>130</v>
      </c>
      <c r="O44" s="16"/>
      <c r="P44" s="8"/>
      <c r="Q44" s="15"/>
      <c r="R44" s="16">
        <f t="shared" si="6"/>
        <v>0</v>
      </c>
      <c r="S44" s="8">
        <f t="shared" si="7"/>
        <v>0</v>
      </c>
      <c r="T44" s="19">
        <f t="shared" si="8"/>
        <v>0</v>
      </c>
      <c r="U44" s="19">
        <f t="shared" si="9"/>
        <v>0</v>
      </c>
      <c r="V44" s="19">
        <f t="shared" si="10"/>
        <v>0</v>
      </c>
      <c r="W44" s="16">
        <f t="shared" si="11"/>
        <v>0</v>
      </c>
      <c r="X44" s="16">
        <f t="shared" si="11"/>
        <v>0</v>
      </c>
      <c r="Y44" s="347">
        <f t="shared" si="11"/>
        <v>0</v>
      </c>
      <c r="Z44" s="16"/>
      <c r="AA44" s="11"/>
    </row>
    <row r="45" spans="1:27" s="2" customFormat="1" ht="45" hidden="1" x14ac:dyDescent="0.25">
      <c r="A45" s="42" t="s">
        <v>205</v>
      </c>
      <c r="B45" s="59"/>
      <c r="C45" s="42" t="s">
        <v>61</v>
      </c>
      <c r="D45" s="43" t="s">
        <v>206</v>
      </c>
      <c r="E45" s="43"/>
      <c r="F45" s="85"/>
      <c r="G45" s="43"/>
      <c r="H45" s="5" t="s">
        <v>155</v>
      </c>
      <c r="I45" s="5" t="s">
        <v>35</v>
      </c>
      <c r="J45" s="5" t="s">
        <v>34</v>
      </c>
      <c r="K45" s="5" t="s">
        <v>33</v>
      </c>
      <c r="L45" s="5" t="s">
        <v>35</v>
      </c>
      <c r="M45" s="53">
        <v>4</v>
      </c>
      <c r="N45" s="43" t="s">
        <v>130</v>
      </c>
      <c r="O45" s="16"/>
      <c r="P45" s="8"/>
      <c r="Q45" s="15"/>
      <c r="R45" s="16">
        <f t="shared" si="6"/>
        <v>0</v>
      </c>
      <c r="S45" s="8">
        <f t="shared" si="7"/>
        <v>0</v>
      </c>
      <c r="T45" s="19">
        <f t="shared" si="8"/>
        <v>0</v>
      </c>
      <c r="U45" s="19">
        <f t="shared" si="9"/>
        <v>0</v>
      </c>
      <c r="V45" s="19">
        <f t="shared" si="10"/>
        <v>0</v>
      </c>
      <c r="W45" s="16">
        <f t="shared" si="11"/>
        <v>0</v>
      </c>
      <c r="X45" s="16">
        <f t="shared" si="11"/>
        <v>0</v>
      </c>
      <c r="Y45" s="347">
        <f t="shared" si="11"/>
        <v>0</v>
      </c>
      <c r="Z45" s="16"/>
      <c r="AA45" s="11"/>
    </row>
    <row r="46" spans="1:27" s="2" customFormat="1" ht="45" hidden="1" x14ac:dyDescent="0.25">
      <c r="A46" s="42" t="s">
        <v>288</v>
      </c>
      <c r="B46" s="59"/>
      <c r="C46" s="42" t="s">
        <v>61</v>
      </c>
      <c r="D46" s="44" t="s">
        <v>289</v>
      </c>
      <c r="E46" s="44"/>
      <c r="F46" s="86"/>
      <c r="G46" s="43" t="s">
        <v>253</v>
      </c>
      <c r="H46" s="5" t="s">
        <v>36</v>
      </c>
      <c r="I46" s="5" t="s">
        <v>33</v>
      </c>
      <c r="J46" s="5" t="s">
        <v>35</v>
      </c>
      <c r="K46" s="5" t="s">
        <v>35</v>
      </c>
      <c r="L46" s="5" t="s">
        <v>35</v>
      </c>
      <c r="M46" s="5">
        <v>0</v>
      </c>
      <c r="N46" s="43" t="s">
        <v>130</v>
      </c>
      <c r="O46" s="16"/>
      <c r="P46" s="8"/>
      <c r="Q46" s="9"/>
      <c r="R46" s="16">
        <f t="shared" si="6"/>
        <v>0</v>
      </c>
      <c r="S46" s="8">
        <f t="shared" si="7"/>
        <v>0</v>
      </c>
      <c r="T46" s="19">
        <f t="shared" si="8"/>
        <v>0</v>
      </c>
      <c r="U46" s="19">
        <f t="shared" si="9"/>
        <v>0</v>
      </c>
      <c r="V46" s="19">
        <f t="shared" si="10"/>
        <v>0</v>
      </c>
      <c r="W46" s="16">
        <f t="shared" si="11"/>
        <v>0</v>
      </c>
      <c r="X46" s="16">
        <f t="shared" si="11"/>
        <v>0</v>
      </c>
      <c r="Y46" s="347">
        <f t="shared" si="11"/>
        <v>0</v>
      </c>
      <c r="Z46" s="16"/>
      <c r="AA46" s="11"/>
    </row>
    <row r="47" spans="1:27" s="2" customFormat="1" ht="75" hidden="1" x14ac:dyDescent="0.25">
      <c r="A47" s="42" t="s">
        <v>244</v>
      </c>
      <c r="B47" s="59"/>
      <c r="C47" s="42" t="s">
        <v>61</v>
      </c>
      <c r="D47" s="43" t="s">
        <v>245</v>
      </c>
      <c r="E47" s="43"/>
      <c r="F47" s="85"/>
      <c r="G47" s="43"/>
      <c r="H47" s="5" t="s">
        <v>155</v>
      </c>
      <c r="I47" s="5" t="s">
        <v>33</v>
      </c>
      <c r="J47" s="5" t="s">
        <v>33</v>
      </c>
      <c r="K47" s="5" t="s">
        <v>35</v>
      </c>
      <c r="L47" s="5" t="s">
        <v>35</v>
      </c>
      <c r="M47" s="53">
        <v>2</v>
      </c>
      <c r="N47" s="43" t="s">
        <v>130</v>
      </c>
      <c r="O47" s="16"/>
      <c r="P47" s="8"/>
      <c r="Q47" s="9"/>
      <c r="R47" s="16">
        <f t="shared" si="6"/>
        <v>0</v>
      </c>
      <c r="S47" s="8">
        <f t="shared" si="7"/>
        <v>0</v>
      </c>
      <c r="T47" s="19">
        <f t="shared" si="8"/>
        <v>0</v>
      </c>
      <c r="U47" s="19">
        <f t="shared" si="9"/>
        <v>0</v>
      </c>
      <c r="V47" s="19">
        <f t="shared" si="10"/>
        <v>0</v>
      </c>
      <c r="W47" s="16">
        <f t="shared" si="11"/>
        <v>0</v>
      </c>
      <c r="X47" s="16">
        <f t="shared" si="11"/>
        <v>0</v>
      </c>
      <c r="Y47" s="347">
        <f t="shared" si="11"/>
        <v>0</v>
      </c>
      <c r="Z47" s="16"/>
      <c r="AA47" s="11"/>
    </row>
    <row r="48" spans="1:27" s="2" customFormat="1" ht="45" hidden="1" x14ac:dyDescent="0.25">
      <c r="A48" s="42" t="s">
        <v>273</v>
      </c>
      <c r="B48" s="59"/>
      <c r="C48" s="42" t="s">
        <v>61</v>
      </c>
      <c r="D48" s="44" t="s">
        <v>274</v>
      </c>
      <c r="E48" s="44"/>
      <c r="F48" s="86"/>
      <c r="G48" s="43" t="s">
        <v>253</v>
      </c>
      <c r="H48" s="5" t="s">
        <v>36</v>
      </c>
      <c r="I48" s="5" t="s">
        <v>36</v>
      </c>
      <c r="J48" s="5" t="s">
        <v>35</v>
      </c>
      <c r="K48" s="5" t="s">
        <v>35</v>
      </c>
      <c r="L48" s="5" t="s">
        <v>35</v>
      </c>
      <c r="M48" s="5">
        <v>0</v>
      </c>
      <c r="N48" s="43" t="s">
        <v>130</v>
      </c>
      <c r="O48" s="16"/>
      <c r="P48" s="8"/>
      <c r="Q48" s="9"/>
      <c r="R48" s="16">
        <f t="shared" si="6"/>
        <v>0</v>
      </c>
      <c r="S48" s="8">
        <f t="shared" si="7"/>
        <v>0</v>
      </c>
      <c r="T48" s="19">
        <f t="shared" si="8"/>
        <v>0</v>
      </c>
      <c r="U48" s="19">
        <f t="shared" si="9"/>
        <v>0</v>
      </c>
      <c r="V48" s="19">
        <f t="shared" si="10"/>
        <v>0</v>
      </c>
      <c r="W48" s="16">
        <f t="shared" si="11"/>
        <v>0</v>
      </c>
      <c r="X48" s="16">
        <f t="shared" si="11"/>
        <v>0</v>
      </c>
      <c r="Y48" s="347">
        <f t="shared" si="11"/>
        <v>0</v>
      </c>
      <c r="Z48" s="16"/>
      <c r="AA48" s="11"/>
    </row>
    <row r="49" spans="1:27" s="2" customFormat="1" hidden="1" x14ac:dyDescent="0.25">
      <c r="A49" s="42" t="s">
        <v>283</v>
      </c>
      <c r="B49" s="59"/>
      <c r="C49" s="42" t="s">
        <v>61</v>
      </c>
      <c r="D49" s="44" t="s">
        <v>284</v>
      </c>
      <c r="E49" s="44"/>
      <c r="F49" s="86"/>
      <c r="G49" s="43" t="s">
        <v>253</v>
      </c>
      <c r="H49" s="5" t="s">
        <v>155</v>
      </c>
      <c r="I49" s="5" t="s">
        <v>35</v>
      </c>
      <c r="J49" s="5" t="s">
        <v>35</v>
      </c>
      <c r="K49" s="5" t="s">
        <v>35</v>
      </c>
      <c r="L49" s="5" t="s">
        <v>35</v>
      </c>
      <c r="M49" s="5">
        <v>0</v>
      </c>
      <c r="N49" s="43" t="s">
        <v>130</v>
      </c>
      <c r="O49" s="16"/>
      <c r="P49" s="8"/>
      <c r="Q49" s="9"/>
      <c r="R49" s="16">
        <f t="shared" si="6"/>
        <v>0</v>
      </c>
      <c r="S49" s="8">
        <f t="shared" si="7"/>
        <v>0</v>
      </c>
      <c r="T49" s="19">
        <f t="shared" si="8"/>
        <v>0</v>
      </c>
      <c r="U49" s="19">
        <f t="shared" si="9"/>
        <v>0</v>
      </c>
      <c r="V49" s="19">
        <f t="shared" si="10"/>
        <v>0</v>
      </c>
      <c r="W49" s="16">
        <f t="shared" si="11"/>
        <v>0</v>
      </c>
      <c r="X49" s="16">
        <f t="shared" si="11"/>
        <v>0</v>
      </c>
      <c r="Y49" s="347">
        <f t="shared" si="11"/>
        <v>0</v>
      </c>
      <c r="Z49" s="16"/>
      <c r="AA49" s="11"/>
    </row>
    <row r="50" spans="1:27" s="2" customFormat="1" ht="30" hidden="1" x14ac:dyDescent="0.25">
      <c r="A50" s="42" t="s">
        <v>230</v>
      </c>
      <c r="B50" s="59"/>
      <c r="C50" s="42" t="s">
        <v>61</v>
      </c>
      <c r="D50" s="43" t="s">
        <v>231</v>
      </c>
      <c r="E50" s="43"/>
      <c r="F50" s="85"/>
      <c r="G50" s="43"/>
      <c r="H50" s="5" t="s">
        <v>36</v>
      </c>
      <c r="I50" s="5" t="s">
        <v>36</v>
      </c>
      <c r="J50" s="5" t="s">
        <v>36</v>
      </c>
      <c r="K50" s="5" t="s">
        <v>35</v>
      </c>
      <c r="L50" s="5" t="s">
        <v>35</v>
      </c>
      <c r="M50" s="53">
        <v>3</v>
      </c>
      <c r="N50" s="43" t="s">
        <v>130</v>
      </c>
      <c r="O50" s="16"/>
      <c r="P50" s="8"/>
      <c r="Q50" s="9"/>
      <c r="R50" s="16">
        <f t="shared" si="6"/>
        <v>0</v>
      </c>
      <c r="S50" s="8">
        <f t="shared" si="7"/>
        <v>0</v>
      </c>
      <c r="T50" s="19">
        <f t="shared" si="8"/>
        <v>0</v>
      </c>
      <c r="U50" s="19">
        <f t="shared" si="9"/>
        <v>0</v>
      </c>
      <c r="V50" s="19">
        <f t="shared" si="10"/>
        <v>0</v>
      </c>
      <c r="W50" s="16">
        <f t="shared" si="11"/>
        <v>0</v>
      </c>
      <c r="X50" s="16">
        <f t="shared" si="11"/>
        <v>0</v>
      </c>
      <c r="Y50" s="347">
        <f t="shared" si="11"/>
        <v>0</v>
      </c>
      <c r="Z50" s="16"/>
      <c r="AA50" s="11"/>
    </row>
    <row r="51" spans="1:27" s="2" customFormat="1" ht="45" hidden="1" x14ac:dyDescent="0.25">
      <c r="A51" s="42" t="s">
        <v>145</v>
      </c>
      <c r="B51" s="59">
        <v>3353</v>
      </c>
      <c r="C51" s="42" t="s">
        <v>61</v>
      </c>
      <c r="D51" s="43" t="s">
        <v>146</v>
      </c>
      <c r="E51" s="43"/>
      <c r="F51" s="85"/>
      <c r="G51" s="43" t="s">
        <v>147</v>
      </c>
      <c r="H51" s="5" t="s">
        <v>33</v>
      </c>
      <c r="I51" s="5" t="s">
        <v>35</v>
      </c>
      <c r="J51" s="5" t="s">
        <v>33</v>
      </c>
      <c r="K51" s="5" t="s">
        <v>35</v>
      </c>
      <c r="L51" s="5" t="s">
        <v>35</v>
      </c>
      <c r="M51" s="52">
        <v>10</v>
      </c>
      <c r="N51" s="43" t="s">
        <v>130</v>
      </c>
      <c r="O51" s="16">
        <v>0</v>
      </c>
      <c r="P51" s="8"/>
      <c r="Q51" s="9">
        <v>0.5</v>
      </c>
      <c r="R51" s="16">
        <f t="shared" si="6"/>
        <v>0</v>
      </c>
      <c r="S51" s="8">
        <f t="shared" si="7"/>
        <v>0</v>
      </c>
      <c r="T51" s="19">
        <f t="shared" si="8"/>
        <v>0.375</v>
      </c>
      <c r="U51" s="19">
        <f t="shared" si="9"/>
        <v>0.625</v>
      </c>
      <c r="V51" s="19">
        <f t="shared" si="10"/>
        <v>7.216878364870323E-2</v>
      </c>
      <c r="W51" s="16">
        <f t="shared" si="11"/>
        <v>0</v>
      </c>
      <c r="X51" s="16">
        <f t="shared" si="11"/>
        <v>0</v>
      </c>
      <c r="Y51" s="347">
        <f t="shared" si="11"/>
        <v>0</v>
      </c>
      <c r="Z51" s="16"/>
      <c r="AA51" s="11"/>
    </row>
    <row r="52" spans="1:27" s="2" customFormat="1" ht="45" hidden="1" x14ac:dyDescent="0.25">
      <c r="A52" s="42" t="s">
        <v>143</v>
      </c>
      <c r="B52" s="59">
        <v>3354</v>
      </c>
      <c r="C52" s="42" t="s">
        <v>61</v>
      </c>
      <c r="D52" s="89" t="s">
        <v>144</v>
      </c>
      <c r="E52" s="89"/>
      <c r="F52" s="88">
        <v>50000</v>
      </c>
      <c r="G52" s="43" t="s">
        <v>63</v>
      </c>
      <c r="H52" s="5" t="s">
        <v>33</v>
      </c>
      <c r="I52" s="5" t="s">
        <v>35</v>
      </c>
      <c r="J52" s="5" t="s">
        <v>33</v>
      </c>
      <c r="K52" s="5" t="s">
        <v>35</v>
      </c>
      <c r="L52" s="5" t="s">
        <v>35</v>
      </c>
      <c r="M52" s="52">
        <v>10</v>
      </c>
      <c r="N52" s="43" t="s">
        <v>113</v>
      </c>
      <c r="O52" s="71">
        <v>0</v>
      </c>
      <c r="P52" s="8"/>
      <c r="Q52" s="9">
        <v>0.5</v>
      </c>
      <c r="R52" s="16">
        <f t="shared" si="6"/>
        <v>0</v>
      </c>
      <c r="S52" s="8">
        <f t="shared" si="7"/>
        <v>0</v>
      </c>
      <c r="T52" s="19">
        <f t="shared" si="8"/>
        <v>0.375</v>
      </c>
      <c r="U52" s="19">
        <f t="shared" si="9"/>
        <v>0.625</v>
      </c>
      <c r="V52" s="19">
        <f t="shared" si="10"/>
        <v>7.216878364870323E-2</v>
      </c>
      <c r="W52" s="16">
        <f t="shared" si="11"/>
        <v>0</v>
      </c>
      <c r="X52" s="16">
        <f t="shared" si="11"/>
        <v>0</v>
      </c>
      <c r="Y52" s="347">
        <f t="shared" si="11"/>
        <v>0</v>
      </c>
      <c r="Z52" s="16"/>
      <c r="AA52" s="11"/>
    </row>
    <row r="53" spans="1:27" s="2" customFormat="1" ht="30" hidden="1" x14ac:dyDescent="0.25">
      <c r="A53" s="42" t="s">
        <v>139</v>
      </c>
      <c r="B53" s="59">
        <v>3355</v>
      </c>
      <c r="C53" s="42" t="s">
        <v>61</v>
      </c>
      <c r="D53" s="89" t="s">
        <v>140</v>
      </c>
      <c r="E53" s="89"/>
      <c r="F53" s="88"/>
      <c r="G53" s="43" t="s">
        <v>63</v>
      </c>
      <c r="H53" s="5" t="s">
        <v>33</v>
      </c>
      <c r="I53" s="5" t="s">
        <v>33</v>
      </c>
      <c r="J53" s="5" t="s">
        <v>33</v>
      </c>
      <c r="K53" s="5" t="s">
        <v>35</v>
      </c>
      <c r="L53" s="5" t="s">
        <v>35</v>
      </c>
      <c r="M53" s="52">
        <v>10</v>
      </c>
      <c r="N53" s="43" t="s">
        <v>141</v>
      </c>
      <c r="O53" s="71">
        <v>0</v>
      </c>
      <c r="P53" s="72">
        <v>0</v>
      </c>
      <c r="Q53" s="9">
        <v>0.5</v>
      </c>
      <c r="R53" s="16">
        <f t="shared" si="6"/>
        <v>0</v>
      </c>
      <c r="S53" s="8">
        <f t="shared" si="7"/>
        <v>0</v>
      </c>
      <c r="T53" s="19">
        <f t="shared" si="8"/>
        <v>0.375</v>
      </c>
      <c r="U53" s="19">
        <f t="shared" si="9"/>
        <v>0.625</v>
      </c>
      <c r="V53" s="19">
        <f t="shared" si="10"/>
        <v>7.216878364870323E-2</v>
      </c>
      <c r="W53" s="16">
        <f t="shared" si="11"/>
        <v>0</v>
      </c>
      <c r="X53" s="16">
        <f t="shared" si="11"/>
        <v>0</v>
      </c>
      <c r="Y53" s="347">
        <f t="shared" si="11"/>
        <v>0</v>
      </c>
      <c r="Z53" s="16"/>
      <c r="AA53" s="11"/>
    </row>
    <row r="54" spans="1:27" s="2" customFormat="1" ht="45" hidden="1" x14ac:dyDescent="0.25">
      <c r="A54" s="42" t="s">
        <v>142</v>
      </c>
      <c r="B54" s="59">
        <v>3356</v>
      </c>
      <c r="C54" s="42" t="s">
        <v>61</v>
      </c>
      <c r="D54" s="90" t="s">
        <v>306</v>
      </c>
      <c r="E54" s="90"/>
      <c r="F54" s="91"/>
      <c r="G54" s="43" t="s">
        <v>63</v>
      </c>
      <c r="H54" s="5" t="s">
        <v>33</v>
      </c>
      <c r="I54" s="5" t="s">
        <v>35</v>
      </c>
      <c r="J54" s="5" t="s">
        <v>33</v>
      </c>
      <c r="K54" s="5" t="s">
        <v>35</v>
      </c>
      <c r="L54" s="5" t="s">
        <v>35</v>
      </c>
      <c r="M54" s="52">
        <v>10</v>
      </c>
      <c r="N54" s="43" t="s">
        <v>141</v>
      </c>
      <c r="O54" s="71">
        <v>0</v>
      </c>
      <c r="P54" s="8"/>
      <c r="Q54" s="9">
        <v>0.5</v>
      </c>
      <c r="R54" s="16">
        <f t="shared" si="6"/>
        <v>0</v>
      </c>
      <c r="S54" s="8">
        <f t="shared" si="7"/>
        <v>0</v>
      </c>
      <c r="T54" s="19">
        <f t="shared" si="8"/>
        <v>0.375</v>
      </c>
      <c r="U54" s="19">
        <f t="shared" si="9"/>
        <v>0.625</v>
      </c>
      <c r="V54" s="19">
        <f t="shared" si="10"/>
        <v>7.216878364870323E-2</v>
      </c>
      <c r="W54" s="16">
        <f t="shared" si="11"/>
        <v>0</v>
      </c>
      <c r="X54" s="16">
        <f t="shared" si="11"/>
        <v>0</v>
      </c>
      <c r="Y54" s="347">
        <f t="shared" si="11"/>
        <v>0</v>
      </c>
      <c r="Z54" s="16"/>
      <c r="AA54" s="11"/>
    </row>
    <row r="55" spans="1:27" s="2" customFormat="1" ht="30" hidden="1" x14ac:dyDescent="0.25">
      <c r="A55" s="42" t="s">
        <v>21</v>
      </c>
      <c r="B55" s="59">
        <v>3357</v>
      </c>
      <c r="C55" s="42" t="s">
        <v>61</v>
      </c>
      <c r="D55" s="89" t="s">
        <v>22</v>
      </c>
      <c r="E55" s="89"/>
      <c r="F55" s="88"/>
      <c r="G55" s="43" t="s">
        <v>63</v>
      </c>
      <c r="H55" s="5" t="s">
        <v>155</v>
      </c>
      <c r="I55" s="5" t="s">
        <v>35</v>
      </c>
      <c r="J55" s="5" t="s">
        <v>34</v>
      </c>
      <c r="K55" s="5" t="s">
        <v>34</v>
      </c>
      <c r="L55" s="5" t="s">
        <v>64</v>
      </c>
      <c r="M55" s="52">
        <v>8</v>
      </c>
      <c r="N55" s="43" t="s">
        <v>141</v>
      </c>
      <c r="O55" s="16">
        <v>0</v>
      </c>
      <c r="P55" s="8"/>
      <c r="Q55" s="9">
        <v>0.05</v>
      </c>
      <c r="R55" s="16">
        <f t="shared" si="6"/>
        <v>0</v>
      </c>
      <c r="S55" s="8">
        <f t="shared" si="7"/>
        <v>0</v>
      </c>
      <c r="T55" s="19">
        <f t="shared" si="8"/>
        <v>-7.4999999999999997E-2</v>
      </c>
      <c r="U55" s="19">
        <f t="shared" si="9"/>
        <v>0.17499999999999999</v>
      </c>
      <c r="V55" s="19">
        <f t="shared" si="10"/>
        <v>7.216878364870323E-2</v>
      </c>
      <c r="W55" s="16">
        <f t="shared" si="11"/>
        <v>0</v>
      </c>
      <c r="X55" s="16">
        <f t="shared" si="11"/>
        <v>0</v>
      </c>
      <c r="Y55" s="347">
        <f t="shared" si="11"/>
        <v>0</v>
      </c>
      <c r="Z55" s="16"/>
      <c r="AA55" s="11"/>
    </row>
    <row r="56" spans="1:27" s="2" customFormat="1" ht="45" hidden="1" x14ac:dyDescent="0.25">
      <c r="A56" s="42" t="s">
        <v>150</v>
      </c>
      <c r="B56" s="59">
        <v>3358</v>
      </c>
      <c r="C56" s="42" t="s">
        <v>61</v>
      </c>
      <c r="D56" s="43" t="s">
        <v>151</v>
      </c>
      <c r="E56" s="43"/>
      <c r="F56" s="85">
        <v>20000</v>
      </c>
      <c r="G56" s="43"/>
      <c r="H56" s="75" t="s">
        <v>33</v>
      </c>
      <c r="I56" s="5" t="s">
        <v>35</v>
      </c>
      <c r="J56" s="5" t="s">
        <v>34</v>
      </c>
      <c r="K56" s="5" t="s">
        <v>35</v>
      </c>
      <c r="L56" s="5" t="s">
        <v>35</v>
      </c>
      <c r="M56" s="52">
        <v>10</v>
      </c>
      <c r="N56" s="43" t="s">
        <v>152</v>
      </c>
      <c r="O56" s="71">
        <v>1000000</v>
      </c>
      <c r="P56" s="8"/>
      <c r="Q56" s="9">
        <v>0.5</v>
      </c>
      <c r="R56" s="16">
        <f t="shared" si="6"/>
        <v>500000</v>
      </c>
      <c r="S56" s="8">
        <f t="shared" si="7"/>
        <v>0</v>
      </c>
      <c r="T56" s="19">
        <f t="shared" si="8"/>
        <v>0.375</v>
      </c>
      <c r="U56" s="19">
        <f t="shared" si="9"/>
        <v>0.625</v>
      </c>
      <c r="V56" s="19">
        <f t="shared" si="10"/>
        <v>7.216878364870323E-2</v>
      </c>
      <c r="W56" s="16">
        <f t="shared" si="11"/>
        <v>576926.6345200442</v>
      </c>
      <c r="X56" s="16">
        <f t="shared" si="11"/>
        <v>595159.58346444264</v>
      </c>
      <c r="Y56" s="347">
        <f t="shared" si="11"/>
        <v>622135.88300221483</v>
      </c>
      <c r="Z56" s="16"/>
      <c r="AA56" s="11"/>
    </row>
    <row r="57" spans="1:27" s="2" customFormat="1" ht="30" hidden="1" x14ac:dyDescent="0.25">
      <c r="A57" s="42" t="s">
        <v>275</v>
      </c>
      <c r="B57" s="59"/>
      <c r="C57" s="42" t="s">
        <v>61</v>
      </c>
      <c r="D57" s="44" t="s">
        <v>276</v>
      </c>
      <c r="E57" s="44"/>
      <c r="F57" s="86"/>
      <c r="G57" s="43" t="s">
        <v>253</v>
      </c>
      <c r="H57" s="5" t="s">
        <v>36</v>
      </c>
      <c r="I57" s="5" t="s">
        <v>35</v>
      </c>
      <c r="J57" s="5" t="s">
        <v>33</v>
      </c>
      <c r="K57" s="5" t="s">
        <v>35</v>
      </c>
      <c r="L57" s="5" t="s">
        <v>35</v>
      </c>
      <c r="M57" s="5">
        <v>0</v>
      </c>
      <c r="N57" s="43" t="s">
        <v>152</v>
      </c>
      <c r="O57" s="16"/>
      <c r="P57" s="8"/>
      <c r="Q57" s="9"/>
      <c r="R57" s="16">
        <f t="shared" si="6"/>
        <v>0</v>
      </c>
      <c r="S57" s="8">
        <f t="shared" si="7"/>
        <v>0</v>
      </c>
      <c r="T57" s="19">
        <f t="shared" si="8"/>
        <v>0</v>
      </c>
      <c r="U57" s="19">
        <f t="shared" si="9"/>
        <v>0</v>
      </c>
      <c r="V57" s="19">
        <f t="shared" si="10"/>
        <v>0</v>
      </c>
      <c r="W57" s="16">
        <f t="shared" si="11"/>
        <v>0</v>
      </c>
      <c r="X57" s="16">
        <f t="shared" si="11"/>
        <v>0</v>
      </c>
      <c r="Y57" s="347">
        <f t="shared" si="11"/>
        <v>0</v>
      </c>
      <c r="Z57" s="16"/>
      <c r="AA57" s="11"/>
    </row>
    <row r="58" spans="1:27" s="2" customFormat="1" ht="30" hidden="1" x14ac:dyDescent="0.25">
      <c r="A58" s="42" t="s">
        <v>173</v>
      </c>
      <c r="B58" s="59">
        <v>3359</v>
      </c>
      <c r="C58" s="42" t="s">
        <v>61</v>
      </c>
      <c r="D58" s="89" t="s">
        <v>174</v>
      </c>
      <c r="E58" s="89"/>
      <c r="F58" s="88">
        <v>200000</v>
      </c>
      <c r="G58" s="43" t="s">
        <v>63</v>
      </c>
      <c r="H58" s="5" t="s">
        <v>36</v>
      </c>
      <c r="I58" s="5" t="s">
        <v>35</v>
      </c>
      <c r="J58" s="5" t="s">
        <v>35</v>
      </c>
      <c r="K58" s="5" t="s">
        <v>33</v>
      </c>
      <c r="L58" s="5" t="s">
        <v>35</v>
      </c>
      <c r="M58" s="52">
        <v>6</v>
      </c>
      <c r="N58" s="43" t="s">
        <v>152</v>
      </c>
      <c r="O58" s="16">
        <v>0</v>
      </c>
      <c r="P58" s="8"/>
      <c r="Q58" s="9">
        <v>0.17</v>
      </c>
      <c r="R58" s="16">
        <f t="shared" si="6"/>
        <v>0</v>
      </c>
      <c r="S58" s="8">
        <f t="shared" si="7"/>
        <v>0</v>
      </c>
      <c r="T58" s="19">
        <f t="shared" si="8"/>
        <v>4.5000000000000012E-2</v>
      </c>
      <c r="U58" s="19">
        <f t="shared" si="9"/>
        <v>0.29500000000000004</v>
      </c>
      <c r="V58" s="19">
        <f t="shared" si="10"/>
        <v>7.216878364870323E-2</v>
      </c>
      <c r="W58" s="16">
        <f t="shared" si="11"/>
        <v>0</v>
      </c>
      <c r="X58" s="16">
        <f t="shared" si="11"/>
        <v>0</v>
      </c>
      <c r="Y58" s="347">
        <f t="shared" si="11"/>
        <v>0</v>
      </c>
      <c r="Z58" s="16"/>
      <c r="AA58" s="11"/>
    </row>
    <row r="59" spans="1:27" s="2" customFormat="1" ht="30" hidden="1" x14ac:dyDescent="0.25">
      <c r="A59" s="42" t="s">
        <v>131</v>
      </c>
      <c r="B59" s="59">
        <v>3360</v>
      </c>
      <c r="C59" s="42" t="s">
        <v>61</v>
      </c>
      <c r="D59" s="43" t="s">
        <v>132</v>
      </c>
      <c r="E59" s="43"/>
      <c r="F59" s="85"/>
      <c r="G59" s="43"/>
      <c r="H59" s="5" t="s">
        <v>33</v>
      </c>
      <c r="I59" s="5" t="s">
        <v>33</v>
      </c>
      <c r="J59" s="5" t="s">
        <v>33</v>
      </c>
      <c r="K59" s="5" t="s">
        <v>35</v>
      </c>
      <c r="L59" s="5" t="s">
        <v>35</v>
      </c>
      <c r="M59" s="52">
        <v>10</v>
      </c>
      <c r="N59" s="43" t="s">
        <v>113</v>
      </c>
      <c r="O59" s="71">
        <v>400000</v>
      </c>
      <c r="P59" s="72">
        <v>0</v>
      </c>
      <c r="Q59" s="9">
        <v>0.5</v>
      </c>
      <c r="R59" s="16">
        <f t="shared" si="6"/>
        <v>200000</v>
      </c>
      <c r="S59" s="8">
        <f t="shared" si="7"/>
        <v>0</v>
      </c>
      <c r="T59" s="19">
        <f t="shared" si="8"/>
        <v>0.375</v>
      </c>
      <c r="U59" s="19">
        <f t="shared" si="9"/>
        <v>0.625</v>
      </c>
      <c r="V59" s="19">
        <f t="shared" si="10"/>
        <v>7.216878364870323E-2</v>
      </c>
      <c r="W59" s="16">
        <f t="shared" ref="W59:Y78" si="12">W$121*$R59/$R$121  *  IF($T$1="Y", 1, IF($O59&lt;0,0,1))</f>
        <v>230770.6538080177</v>
      </c>
      <c r="X59" s="16">
        <f t="shared" si="12"/>
        <v>238063.83338577705</v>
      </c>
      <c r="Y59" s="347">
        <f t="shared" si="12"/>
        <v>248854.35320088593</v>
      </c>
      <c r="Z59" s="16"/>
      <c r="AA59" s="11"/>
    </row>
    <row r="60" spans="1:27" s="2" customFormat="1" ht="45" hidden="1" x14ac:dyDescent="0.25">
      <c r="A60" s="42" t="s">
        <v>314</v>
      </c>
      <c r="B60" s="59" t="s">
        <v>333</v>
      </c>
      <c r="C60" s="42" t="s">
        <v>61</v>
      </c>
      <c r="D60" s="89" t="s">
        <v>315</v>
      </c>
      <c r="E60" s="89"/>
      <c r="F60" s="88">
        <v>3000000</v>
      </c>
      <c r="G60" s="43" t="s">
        <v>63</v>
      </c>
      <c r="H60" s="5" t="s">
        <v>36</v>
      </c>
      <c r="I60" s="5" t="s">
        <v>35</v>
      </c>
      <c r="J60" s="5" t="s">
        <v>64</v>
      </c>
      <c r="K60" s="5" t="s">
        <v>33</v>
      </c>
      <c r="L60" s="5" t="s">
        <v>33</v>
      </c>
      <c r="M60" s="52"/>
      <c r="N60" s="43" t="s">
        <v>113</v>
      </c>
      <c r="O60" s="71"/>
      <c r="P60" s="72"/>
      <c r="Q60" s="9"/>
      <c r="R60" s="16">
        <f t="shared" si="6"/>
        <v>0</v>
      </c>
      <c r="S60" s="8">
        <f t="shared" si="7"/>
        <v>0</v>
      </c>
      <c r="T60" s="19">
        <f t="shared" si="8"/>
        <v>0</v>
      </c>
      <c r="U60" s="19">
        <f t="shared" si="9"/>
        <v>0</v>
      </c>
      <c r="V60" s="19">
        <f t="shared" si="10"/>
        <v>0</v>
      </c>
      <c r="W60" s="16">
        <f t="shared" si="12"/>
        <v>0</v>
      </c>
      <c r="X60" s="16">
        <f t="shared" si="12"/>
        <v>0</v>
      </c>
      <c r="Y60" s="347">
        <f t="shared" si="12"/>
        <v>0</v>
      </c>
      <c r="Z60" s="16"/>
      <c r="AA60" s="11"/>
    </row>
    <row r="61" spans="1:27" s="2" customFormat="1" ht="54" hidden="1" customHeight="1" x14ac:dyDescent="0.25">
      <c r="A61" s="42" t="s">
        <v>316</v>
      </c>
      <c r="B61" s="59" t="s">
        <v>333</v>
      </c>
      <c r="C61" s="42" t="s">
        <v>61</v>
      </c>
      <c r="D61" s="92" t="s">
        <v>210</v>
      </c>
      <c r="E61" s="89" t="s">
        <v>211</v>
      </c>
      <c r="F61" s="88" t="s">
        <v>212</v>
      </c>
      <c r="G61" s="43" t="s">
        <v>63</v>
      </c>
      <c r="H61" s="5" t="s">
        <v>155</v>
      </c>
      <c r="I61" s="5" t="s">
        <v>64</v>
      </c>
      <c r="J61" s="5" t="s">
        <v>64</v>
      </c>
      <c r="K61" s="5" t="s">
        <v>64</v>
      </c>
      <c r="L61" s="5" t="s">
        <v>64</v>
      </c>
      <c r="M61" s="52"/>
      <c r="N61" s="43" t="s">
        <v>320</v>
      </c>
      <c r="O61" s="71"/>
      <c r="P61" s="72"/>
      <c r="Q61" s="9"/>
      <c r="R61" s="16">
        <f t="shared" si="6"/>
        <v>0</v>
      </c>
      <c r="S61" s="8">
        <f t="shared" si="7"/>
        <v>0</v>
      </c>
      <c r="T61" s="19">
        <f t="shared" si="8"/>
        <v>0</v>
      </c>
      <c r="U61" s="19">
        <f t="shared" si="9"/>
        <v>0</v>
      </c>
      <c r="V61" s="19">
        <f t="shared" si="10"/>
        <v>0</v>
      </c>
      <c r="W61" s="16">
        <f t="shared" si="12"/>
        <v>0</v>
      </c>
      <c r="X61" s="16">
        <f t="shared" si="12"/>
        <v>0</v>
      </c>
      <c r="Y61" s="347">
        <f t="shared" si="12"/>
        <v>0</v>
      </c>
      <c r="Z61" s="16"/>
      <c r="AA61" s="11"/>
    </row>
    <row r="62" spans="1:27" s="2" customFormat="1" ht="45" hidden="1" x14ac:dyDescent="0.25">
      <c r="A62" s="42" t="s">
        <v>317</v>
      </c>
      <c r="B62" s="59" t="s">
        <v>333</v>
      </c>
      <c r="C62" s="42" t="s">
        <v>61</v>
      </c>
      <c r="D62" s="89" t="s">
        <v>327</v>
      </c>
      <c r="E62" s="89"/>
      <c r="F62" s="88" t="s">
        <v>213</v>
      </c>
      <c r="G62" s="43" t="s">
        <v>63</v>
      </c>
      <c r="H62" s="5" t="s">
        <v>36</v>
      </c>
      <c r="I62" s="5" t="s">
        <v>35</v>
      </c>
      <c r="J62" s="5" t="s">
        <v>33</v>
      </c>
      <c r="K62" s="5" t="s">
        <v>35</v>
      </c>
      <c r="L62" s="5" t="s">
        <v>35</v>
      </c>
      <c r="M62" s="52"/>
      <c r="N62" s="43" t="s">
        <v>214</v>
      </c>
      <c r="O62" s="71"/>
      <c r="P62" s="72"/>
      <c r="Q62" s="9"/>
      <c r="R62" s="16">
        <f t="shared" si="6"/>
        <v>0</v>
      </c>
      <c r="S62" s="8">
        <f t="shared" si="7"/>
        <v>0</v>
      </c>
      <c r="T62" s="19">
        <f t="shared" si="8"/>
        <v>0</v>
      </c>
      <c r="U62" s="19">
        <f t="shared" si="9"/>
        <v>0</v>
      </c>
      <c r="V62" s="19">
        <f t="shared" si="10"/>
        <v>0</v>
      </c>
      <c r="W62" s="16">
        <f t="shared" si="12"/>
        <v>0</v>
      </c>
      <c r="X62" s="16">
        <f t="shared" si="12"/>
        <v>0</v>
      </c>
      <c r="Y62" s="347">
        <f t="shared" si="12"/>
        <v>0</v>
      </c>
      <c r="Z62" s="16"/>
      <c r="AA62" s="11"/>
    </row>
    <row r="63" spans="1:27" s="2" customFormat="1" ht="26.25" hidden="1" x14ac:dyDescent="0.25">
      <c r="A63" s="42" t="s">
        <v>318</v>
      </c>
      <c r="B63" s="59" t="s">
        <v>333</v>
      </c>
      <c r="C63" s="42" t="s">
        <v>61</v>
      </c>
      <c r="D63" s="84" t="s">
        <v>216</v>
      </c>
      <c r="E63" s="43"/>
      <c r="F63" s="85"/>
      <c r="G63" s="43"/>
      <c r="H63" s="5" t="s">
        <v>36</v>
      </c>
      <c r="I63" s="5" t="s">
        <v>35</v>
      </c>
      <c r="J63" s="5" t="s">
        <v>33</v>
      </c>
      <c r="K63" s="5" t="s">
        <v>33</v>
      </c>
      <c r="L63" s="5" t="s">
        <v>35</v>
      </c>
      <c r="M63" s="52"/>
      <c r="N63" s="83" t="s">
        <v>215</v>
      </c>
      <c r="O63" s="71">
        <v>200000</v>
      </c>
      <c r="P63" s="72"/>
      <c r="Q63" s="9">
        <v>0.17</v>
      </c>
      <c r="R63" s="16">
        <f t="shared" si="6"/>
        <v>34000</v>
      </c>
      <c r="S63" s="8">
        <f t="shared" si="7"/>
        <v>0</v>
      </c>
      <c r="T63" s="19">
        <f t="shared" si="8"/>
        <v>4.5000000000000012E-2</v>
      </c>
      <c r="U63" s="19">
        <f t="shared" si="9"/>
        <v>0.29500000000000004</v>
      </c>
      <c r="V63" s="19">
        <f t="shared" si="10"/>
        <v>7.216878364870323E-2</v>
      </c>
      <c r="W63" s="16">
        <f t="shared" si="12"/>
        <v>39231.011147363002</v>
      </c>
      <c r="X63" s="16">
        <f t="shared" si="12"/>
        <v>40470.851675582097</v>
      </c>
      <c r="Y63" s="347">
        <f t="shared" si="12"/>
        <v>42305.240044150611</v>
      </c>
      <c r="Z63" s="16"/>
      <c r="AA63" s="11"/>
    </row>
    <row r="64" spans="1:27" s="2" customFormat="1" ht="26.25" hidden="1" x14ac:dyDescent="0.25">
      <c r="A64" s="42" t="s">
        <v>319</v>
      </c>
      <c r="B64" s="59" t="s">
        <v>333</v>
      </c>
      <c r="C64" s="42" t="s">
        <v>61</v>
      </c>
      <c r="D64" s="84" t="s">
        <v>328</v>
      </c>
      <c r="E64" s="43"/>
      <c r="F64" s="85"/>
      <c r="G64" s="43"/>
      <c r="H64" s="5" t="s">
        <v>33</v>
      </c>
      <c r="I64" s="5" t="s">
        <v>35</v>
      </c>
      <c r="J64" s="5" t="s">
        <v>33</v>
      </c>
      <c r="K64" s="5" t="s">
        <v>33</v>
      </c>
      <c r="L64" s="5" t="s">
        <v>155</v>
      </c>
      <c r="M64" s="52"/>
      <c r="N64" s="43" t="s">
        <v>113</v>
      </c>
      <c r="O64" s="71">
        <v>250000</v>
      </c>
      <c r="P64" s="72"/>
      <c r="Q64" s="9">
        <v>0.5</v>
      </c>
      <c r="R64" s="16">
        <f t="shared" si="6"/>
        <v>125000</v>
      </c>
      <c r="S64" s="8">
        <f t="shared" si="7"/>
        <v>0</v>
      </c>
      <c r="T64" s="19">
        <f t="shared" si="8"/>
        <v>0.375</v>
      </c>
      <c r="U64" s="19">
        <f t="shared" si="9"/>
        <v>0.625</v>
      </c>
      <c r="V64" s="19">
        <f t="shared" si="10"/>
        <v>7.216878364870323E-2</v>
      </c>
      <c r="W64" s="16">
        <f t="shared" si="12"/>
        <v>144231.65863001105</v>
      </c>
      <c r="X64" s="16">
        <f t="shared" si="12"/>
        <v>148789.89586611066</v>
      </c>
      <c r="Y64" s="347">
        <f t="shared" si="12"/>
        <v>155533.97075055371</v>
      </c>
      <c r="Z64" s="16"/>
      <c r="AA64" s="11"/>
    </row>
    <row r="65" spans="1:27" s="2" customFormat="1" ht="45" hidden="1" x14ac:dyDescent="0.25">
      <c r="A65" s="42" t="s">
        <v>201</v>
      </c>
      <c r="B65" s="59"/>
      <c r="C65" s="42" t="s">
        <v>61</v>
      </c>
      <c r="D65" s="43" t="s">
        <v>202</v>
      </c>
      <c r="E65" s="43"/>
      <c r="F65" s="85"/>
      <c r="G65" s="43"/>
      <c r="H65" s="5" t="s">
        <v>33</v>
      </c>
      <c r="I65" s="5" t="s">
        <v>36</v>
      </c>
      <c r="J65" s="5" t="s">
        <v>35</v>
      </c>
      <c r="K65" s="5" t="s">
        <v>35</v>
      </c>
      <c r="L65" s="5" t="s">
        <v>35</v>
      </c>
      <c r="M65" s="53">
        <v>5</v>
      </c>
      <c r="N65" s="43" t="s">
        <v>74</v>
      </c>
      <c r="O65" s="16"/>
      <c r="P65" s="8"/>
      <c r="Q65" s="9"/>
      <c r="R65" s="16">
        <f t="shared" si="6"/>
        <v>0</v>
      </c>
      <c r="S65" s="8">
        <f t="shared" si="7"/>
        <v>0</v>
      </c>
      <c r="T65" s="19">
        <f t="shared" si="8"/>
        <v>0</v>
      </c>
      <c r="U65" s="19">
        <f t="shared" si="9"/>
        <v>0</v>
      </c>
      <c r="V65" s="19">
        <f t="shared" si="10"/>
        <v>0</v>
      </c>
      <c r="W65" s="16">
        <f t="shared" si="12"/>
        <v>0</v>
      </c>
      <c r="X65" s="16">
        <f t="shared" si="12"/>
        <v>0</v>
      </c>
      <c r="Y65" s="347">
        <f t="shared" si="12"/>
        <v>0</v>
      </c>
      <c r="Z65" s="16"/>
      <c r="AA65" s="11"/>
    </row>
    <row r="66" spans="1:27" s="2" customFormat="1" ht="60" hidden="1" x14ac:dyDescent="0.25">
      <c r="A66" s="42" t="s">
        <v>148</v>
      </c>
      <c r="B66" s="59">
        <v>3361</v>
      </c>
      <c r="C66" s="42" t="s">
        <v>121</v>
      </c>
      <c r="D66" s="43" t="s">
        <v>149</v>
      </c>
      <c r="E66" s="43"/>
      <c r="F66" s="85"/>
      <c r="G66" s="43"/>
      <c r="H66" s="5" t="s">
        <v>33</v>
      </c>
      <c r="I66" s="5" t="s">
        <v>33</v>
      </c>
      <c r="J66" s="5" t="s">
        <v>35</v>
      </c>
      <c r="K66" s="5" t="s">
        <v>35</v>
      </c>
      <c r="L66" s="5" t="s">
        <v>35</v>
      </c>
      <c r="M66" s="52">
        <v>10</v>
      </c>
      <c r="N66" s="43" t="s">
        <v>74</v>
      </c>
      <c r="O66" s="16">
        <v>0</v>
      </c>
      <c r="P66" s="8"/>
      <c r="Q66" s="9">
        <v>0.5</v>
      </c>
      <c r="R66" s="16">
        <f t="shared" si="6"/>
        <v>0</v>
      </c>
      <c r="S66" s="8">
        <f t="shared" si="7"/>
        <v>0</v>
      </c>
      <c r="T66" s="19">
        <f t="shared" si="8"/>
        <v>0.375</v>
      </c>
      <c r="U66" s="19">
        <f t="shared" si="9"/>
        <v>0.625</v>
      </c>
      <c r="V66" s="19">
        <f t="shared" si="10"/>
        <v>7.216878364870323E-2</v>
      </c>
      <c r="W66" s="16">
        <f t="shared" si="12"/>
        <v>0</v>
      </c>
      <c r="X66" s="16">
        <f t="shared" si="12"/>
        <v>0</v>
      </c>
      <c r="Y66" s="347">
        <f t="shared" si="12"/>
        <v>0</v>
      </c>
      <c r="Z66" s="16"/>
      <c r="AA66" s="11"/>
    </row>
    <row r="67" spans="1:27" s="2" customFormat="1" ht="30" hidden="1" x14ac:dyDescent="0.25">
      <c r="A67" s="42" t="s">
        <v>279</v>
      </c>
      <c r="B67" s="59"/>
      <c r="C67" s="42" t="s">
        <v>61</v>
      </c>
      <c r="D67" s="44" t="s">
        <v>280</v>
      </c>
      <c r="E67" s="44"/>
      <c r="F67" s="86"/>
      <c r="G67" s="43" t="s">
        <v>253</v>
      </c>
      <c r="H67" s="5" t="s">
        <v>33</v>
      </c>
      <c r="I67" s="5" t="s">
        <v>34</v>
      </c>
      <c r="J67" s="5" t="s">
        <v>35</v>
      </c>
      <c r="K67" s="5" t="s">
        <v>35</v>
      </c>
      <c r="L67" s="5" t="s">
        <v>35</v>
      </c>
      <c r="M67" s="5">
        <v>0</v>
      </c>
      <c r="N67" s="43" t="s">
        <v>74</v>
      </c>
      <c r="O67" s="16"/>
      <c r="P67" s="8"/>
      <c r="Q67" s="9"/>
      <c r="R67" s="16">
        <f t="shared" si="6"/>
        <v>0</v>
      </c>
      <c r="S67" s="8">
        <f t="shared" si="7"/>
        <v>0</v>
      </c>
      <c r="T67" s="19">
        <f t="shared" si="8"/>
        <v>0</v>
      </c>
      <c r="U67" s="19">
        <f t="shared" si="9"/>
        <v>0</v>
      </c>
      <c r="V67" s="19">
        <f t="shared" si="10"/>
        <v>0</v>
      </c>
      <c r="W67" s="16">
        <f t="shared" si="12"/>
        <v>0</v>
      </c>
      <c r="X67" s="16">
        <f t="shared" si="12"/>
        <v>0</v>
      </c>
      <c r="Y67" s="347">
        <f t="shared" si="12"/>
        <v>0</v>
      </c>
      <c r="Z67" s="16"/>
      <c r="AA67" s="11"/>
    </row>
    <row r="68" spans="1:27" s="2" customFormat="1" ht="75" hidden="1" x14ac:dyDescent="0.25">
      <c r="A68" s="42" t="s">
        <v>38</v>
      </c>
      <c r="B68" s="59"/>
      <c r="C68" s="42" t="s">
        <v>61</v>
      </c>
      <c r="D68" s="44" t="s">
        <v>160</v>
      </c>
      <c r="E68" s="44"/>
      <c r="F68" s="86"/>
      <c r="G68" s="43" t="s">
        <v>253</v>
      </c>
      <c r="H68" s="5" t="s">
        <v>36</v>
      </c>
      <c r="I68" s="5" t="s">
        <v>35</v>
      </c>
      <c r="J68" s="5" t="s">
        <v>33</v>
      </c>
      <c r="K68" s="5" t="s">
        <v>35</v>
      </c>
      <c r="L68" s="5" t="s">
        <v>35</v>
      </c>
      <c r="M68" s="5">
        <v>0</v>
      </c>
      <c r="N68" s="43" t="s">
        <v>74</v>
      </c>
      <c r="O68" s="16"/>
      <c r="P68" s="8"/>
      <c r="Q68" s="9"/>
      <c r="R68" s="16">
        <f t="shared" si="6"/>
        <v>0</v>
      </c>
      <c r="S68" s="8">
        <f t="shared" si="7"/>
        <v>0</v>
      </c>
      <c r="T68" s="19">
        <f t="shared" si="8"/>
        <v>0</v>
      </c>
      <c r="U68" s="19">
        <f t="shared" si="9"/>
        <v>0</v>
      </c>
      <c r="V68" s="19">
        <f t="shared" si="10"/>
        <v>0</v>
      </c>
      <c r="W68" s="16">
        <f t="shared" si="12"/>
        <v>0</v>
      </c>
      <c r="X68" s="16">
        <f t="shared" si="12"/>
        <v>0</v>
      </c>
      <c r="Y68" s="347">
        <f t="shared" si="12"/>
        <v>0</v>
      </c>
      <c r="Z68" s="16"/>
      <c r="AA68" s="11"/>
    </row>
    <row r="69" spans="1:27" s="2" customFormat="1" ht="30" hidden="1" x14ac:dyDescent="0.25">
      <c r="A69" s="42" t="s">
        <v>39</v>
      </c>
      <c r="B69" s="59">
        <v>3362</v>
      </c>
      <c r="C69" s="42" t="s">
        <v>61</v>
      </c>
      <c r="D69" s="54" t="s">
        <v>302</v>
      </c>
      <c r="E69" s="54" t="s">
        <v>313</v>
      </c>
      <c r="F69" s="87"/>
      <c r="G69" s="43"/>
      <c r="H69" s="5" t="s">
        <v>36</v>
      </c>
      <c r="I69" s="5" t="s">
        <v>34</v>
      </c>
      <c r="J69" s="5" t="s">
        <v>34</v>
      </c>
      <c r="K69" s="5" t="s">
        <v>35</v>
      </c>
      <c r="L69" s="5" t="s">
        <v>35</v>
      </c>
      <c r="M69" s="52">
        <v>12</v>
      </c>
      <c r="N69" s="43" t="s">
        <v>74</v>
      </c>
      <c r="O69" s="71">
        <v>3000000</v>
      </c>
      <c r="P69" s="72">
        <v>60</v>
      </c>
      <c r="Q69" s="9">
        <v>0.1</v>
      </c>
      <c r="R69" s="16">
        <f t="shared" si="6"/>
        <v>300000</v>
      </c>
      <c r="S69" s="8">
        <f t="shared" si="7"/>
        <v>6</v>
      </c>
      <c r="T69" s="19">
        <f t="shared" si="8"/>
        <v>-2.4999999999999994E-2</v>
      </c>
      <c r="U69" s="19">
        <f t="shared" si="9"/>
        <v>0.22500000000000001</v>
      </c>
      <c r="V69" s="19">
        <f t="shared" si="10"/>
        <v>7.216878364870323E-2</v>
      </c>
      <c r="W69" s="16">
        <f t="shared" si="12"/>
        <v>346155.98071202653</v>
      </c>
      <c r="X69" s="16">
        <f t="shared" si="12"/>
        <v>357095.75007866556</v>
      </c>
      <c r="Y69" s="347">
        <f t="shared" si="12"/>
        <v>373281.52980132896</v>
      </c>
      <c r="Z69" s="16"/>
      <c r="AA69" s="11"/>
    </row>
    <row r="70" spans="1:27" s="2" customFormat="1" hidden="1" x14ac:dyDescent="0.25">
      <c r="A70" s="42" t="s">
        <v>40</v>
      </c>
      <c r="B70" s="59">
        <v>3363</v>
      </c>
      <c r="C70" s="42" t="s">
        <v>61</v>
      </c>
      <c r="D70" s="43" t="s">
        <v>186</v>
      </c>
      <c r="E70" s="43"/>
      <c r="F70" s="85"/>
      <c r="G70" s="43"/>
      <c r="H70" s="5" t="s">
        <v>36</v>
      </c>
      <c r="I70" s="5" t="s">
        <v>33</v>
      </c>
      <c r="J70" s="5" t="s">
        <v>36</v>
      </c>
      <c r="K70" s="5" t="s">
        <v>35</v>
      </c>
      <c r="L70" s="5" t="s">
        <v>35</v>
      </c>
      <c r="M70" s="52">
        <v>6</v>
      </c>
      <c r="N70" s="43" t="s">
        <v>74</v>
      </c>
      <c r="O70" s="16">
        <v>0</v>
      </c>
      <c r="P70" s="8"/>
      <c r="Q70" s="9">
        <v>0.17</v>
      </c>
      <c r="R70" s="16">
        <f t="shared" si="6"/>
        <v>0</v>
      </c>
      <c r="S70" s="8">
        <f t="shared" si="7"/>
        <v>0</v>
      </c>
      <c r="T70" s="19">
        <f t="shared" si="8"/>
        <v>4.5000000000000012E-2</v>
      </c>
      <c r="U70" s="19">
        <f t="shared" si="9"/>
        <v>0.29500000000000004</v>
      </c>
      <c r="V70" s="19">
        <f t="shared" si="10"/>
        <v>7.216878364870323E-2</v>
      </c>
      <c r="W70" s="16">
        <f t="shared" si="12"/>
        <v>0</v>
      </c>
      <c r="X70" s="16">
        <f t="shared" si="12"/>
        <v>0</v>
      </c>
      <c r="Y70" s="347">
        <f t="shared" si="12"/>
        <v>0</v>
      </c>
      <c r="Z70" s="16"/>
      <c r="AA70" s="11"/>
    </row>
    <row r="71" spans="1:27" s="2" customFormat="1" ht="45" hidden="1" x14ac:dyDescent="0.25">
      <c r="A71" s="42" t="s">
        <v>182</v>
      </c>
      <c r="B71" s="59">
        <v>3364</v>
      </c>
      <c r="C71" s="42" t="s">
        <v>61</v>
      </c>
      <c r="D71" s="43" t="s">
        <v>183</v>
      </c>
      <c r="E71" s="43"/>
      <c r="F71" s="85"/>
      <c r="G71" s="43"/>
      <c r="H71" s="5" t="s">
        <v>36</v>
      </c>
      <c r="I71" s="5" t="s">
        <v>35</v>
      </c>
      <c r="J71" s="5" t="s">
        <v>33</v>
      </c>
      <c r="K71" s="5" t="s">
        <v>35</v>
      </c>
      <c r="L71" s="5" t="s">
        <v>35</v>
      </c>
      <c r="M71" s="52">
        <v>6</v>
      </c>
      <c r="N71" s="43" t="s">
        <v>74</v>
      </c>
      <c r="O71" s="16">
        <v>500000</v>
      </c>
      <c r="P71" s="8"/>
      <c r="Q71" s="9">
        <v>0.1</v>
      </c>
      <c r="R71" s="16">
        <f t="shared" ref="R71:R102" si="13">O71*Q71</f>
        <v>50000</v>
      </c>
      <c r="S71" s="8">
        <f t="shared" ref="S71:S102" si="14">P71*Q71</f>
        <v>0</v>
      </c>
      <c r="T71" s="19">
        <f t="shared" ref="T71:T102" si="15">IF($Q71=0,0, IF($Q71 = 100%, 100%,$Q71-12.5%))* IF($T$1="Y", 1, IF($O71&lt;0,0,1))</f>
        <v>-2.4999999999999994E-2</v>
      </c>
      <c r="U71" s="19">
        <f t="shared" ref="U71:U102" si="16">IF($Q71=0,0, IF($Q71 = 100%, 100%,$Q71+12.5%))* IF($T$1="Y", 1, IF($O71&lt;0,0,1))</f>
        <v>0.22500000000000001</v>
      </c>
      <c r="V71" s="19">
        <f t="shared" ref="V71:V102" si="17">(U71-T71)/SQRT(12)</f>
        <v>7.216878364870323E-2</v>
      </c>
      <c r="W71" s="16">
        <f t="shared" si="12"/>
        <v>57692.663452004424</v>
      </c>
      <c r="X71" s="16">
        <f t="shared" si="12"/>
        <v>59515.958346444262</v>
      </c>
      <c r="Y71" s="347">
        <f t="shared" si="12"/>
        <v>62213.588300221483</v>
      </c>
      <c r="Z71" s="16"/>
      <c r="AA71" s="11"/>
    </row>
    <row r="72" spans="1:27" s="2" customFormat="1" ht="60" hidden="1" x14ac:dyDescent="0.25">
      <c r="A72" s="42" t="s">
        <v>37</v>
      </c>
      <c r="B72" s="59">
        <v>3365</v>
      </c>
      <c r="C72" s="42" t="s">
        <v>121</v>
      </c>
      <c r="D72" s="43" t="s">
        <v>164</v>
      </c>
      <c r="E72" s="43"/>
      <c r="F72" s="85"/>
      <c r="G72" s="43"/>
      <c r="H72" s="5" t="s">
        <v>36</v>
      </c>
      <c r="I72" s="5" t="s">
        <v>35</v>
      </c>
      <c r="J72" s="5" t="s">
        <v>33</v>
      </c>
      <c r="K72" s="5" t="s">
        <v>35</v>
      </c>
      <c r="L72" s="5" t="s">
        <v>35</v>
      </c>
      <c r="M72" s="52">
        <v>6</v>
      </c>
      <c r="N72" s="43" t="s">
        <v>74</v>
      </c>
      <c r="O72" s="16">
        <v>-500000</v>
      </c>
      <c r="P72" s="8"/>
      <c r="Q72" s="9">
        <v>0.1</v>
      </c>
      <c r="R72" s="16">
        <f t="shared" si="13"/>
        <v>-50000</v>
      </c>
      <c r="S72" s="8">
        <f t="shared" si="14"/>
        <v>0</v>
      </c>
      <c r="T72" s="19">
        <f t="shared" si="15"/>
        <v>-2.4999999999999994E-2</v>
      </c>
      <c r="U72" s="19">
        <f t="shared" si="16"/>
        <v>0.22500000000000001</v>
      </c>
      <c r="V72" s="19">
        <f t="shared" si="17"/>
        <v>7.216878364870323E-2</v>
      </c>
      <c r="W72" s="16">
        <f t="shared" si="12"/>
        <v>-57692.663452004424</v>
      </c>
      <c r="X72" s="16">
        <f t="shared" si="12"/>
        <v>-59515.958346444262</v>
      </c>
      <c r="Y72" s="347">
        <f t="shared" si="12"/>
        <v>-62213.588300221483</v>
      </c>
      <c r="Z72" s="16"/>
      <c r="AA72" s="11"/>
    </row>
    <row r="73" spans="1:27" s="2" customFormat="1" ht="30" hidden="1" x14ac:dyDescent="0.25">
      <c r="A73" s="42" t="s">
        <v>72</v>
      </c>
      <c r="B73" s="59">
        <v>3366</v>
      </c>
      <c r="C73" s="42" t="s">
        <v>61</v>
      </c>
      <c r="D73" s="43" t="s">
        <v>73</v>
      </c>
      <c r="E73" s="43"/>
      <c r="F73" s="85"/>
      <c r="G73" s="43"/>
      <c r="H73" s="5" t="s">
        <v>33</v>
      </c>
      <c r="I73" s="5" t="s">
        <v>35</v>
      </c>
      <c r="J73" s="5" t="s">
        <v>34</v>
      </c>
      <c r="K73" s="5" t="s">
        <v>35</v>
      </c>
      <c r="L73" s="5" t="s">
        <v>35</v>
      </c>
      <c r="M73" s="51">
        <v>24</v>
      </c>
      <c r="N73" s="43" t="s">
        <v>74</v>
      </c>
      <c r="O73" s="71">
        <v>2000000</v>
      </c>
      <c r="P73" s="72">
        <v>0</v>
      </c>
      <c r="Q73" s="9">
        <v>0.5</v>
      </c>
      <c r="R73" s="16">
        <f t="shared" si="13"/>
        <v>1000000</v>
      </c>
      <c r="S73" s="8">
        <f t="shared" si="14"/>
        <v>0</v>
      </c>
      <c r="T73" s="19">
        <f t="shared" si="15"/>
        <v>0.375</v>
      </c>
      <c r="U73" s="19">
        <f t="shared" si="16"/>
        <v>0.625</v>
      </c>
      <c r="V73" s="19">
        <f t="shared" si="17"/>
        <v>7.216878364870323E-2</v>
      </c>
      <c r="W73" s="16">
        <f t="shared" si="12"/>
        <v>1153853.2690400884</v>
      </c>
      <c r="X73" s="16">
        <f t="shared" si="12"/>
        <v>1190319.1669288853</v>
      </c>
      <c r="Y73" s="347">
        <f t="shared" si="12"/>
        <v>1244271.7660044297</v>
      </c>
      <c r="Z73" s="16"/>
      <c r="AA73" s="11"/>
    </row>
    <row r="74" spans="1:27" s="2" customFormat="1" ht="30" hidden="1" x14ac:dyDescent="0.25">
      <c r="A74" s="42" t="s">
        <v>310</v>
      </c>
      <c r="B74" s="59">
        <v>3757</v>
      </c>
      <c r="C74" s="42" t="s">
        <v>61</v>
      </c>
      <c r="D74" s="43" t="s">
        <v>311</v>
      </c>
      <c r="E74" s="43"/>
      <c r="F74" s="85"/>
      <c r="G74" s="43"/>
      <c r="H74" s="5" t="s">
        <v>33</v>
      </c>
      <c r="I74" s="5" t="s">
        <v>35</v>
      </c>
      <c r="J74" s="5" t="s">
        <v>33</v>
      </c>
      <c r="K74" s="5" t="s">
        <v>35</v>
      </c>
      <c r="L74" s="5" t="s">
        <v>35</v>
      </c>
      <c r="M74" s="52">
        <v>12</v>
      </c>
      <c r="N74" s="43" t="s">
        <v>74</v>
      </c>
      <c r="O74" s="71">
        <v>200000</v>
      </c>
      <c r="P74" s="72">
        <v>0</v>
      </c>
      <c r="Q74" s="9">
        <v>0.5</v>
      </c>
      <c r="R74" s="16">
        <f t="shared" si="13"/>
        <v>100000</v>
      </c>
      <c r="S74" s="8">
        <f t="shared" si="14"/>
        <v>0</v>
      </c>
      <c r="T74" s="19">
        <f t="shared" si="15"/>
        <v>0.375</v>
      </c>
      <c r="U74" s="19">
        <f t="shared" si="16"/>
        <v>0.625</v>
      </c>
      <c r="V74" s="19">
        <f t="shared" si="17"/>
        <v>7.216878364870323E-2</v>
      </c>
      <c r="W74" s="16">
        <f t="shared" si="12"/>
        <v>115385.32690400885</v>
      </c>
      <c r="X74" s="16">
        <f t="shared" si="12"/>
        <v>119031.91669288852</v>
      </c>
      <c r="Y74" s="347">
        <f t="shared" si="12"/>
        <v>124427.17660044297</v>
      </c>
      <c r="Z74" s="16"/>
      <c r="AA74" s="11"/>
    </row>
    <row r="75" spans="1:27" s="2" customFormat="1" ht="45" hidden="1" x14ac:dyDescent="0.25">
      <c r="A75" s="42" t="s">
        <v>86</v>
      </c>
      <c r="B75" s="59">
        <v>3367</v>
      </c>
      <c r="C75" s="42" t="s">
        <v>61</v>
      </c>
      <c r="D75" s="43" t="s">
        <v>87</v>
      </c>
      <c r="E75" s="43" t="s">
        <v>346</v>
      </c>
      <c r="F75" s="85">
        <v>20000</v>
      </c>
      <c r="G75" s="43"/>
      <c r="H75" s="5" t="s">
        <v>36</v>
      </c>
      <c r="I75" s="5" t="s">
        <v>34</v>
      </c>
      <c r="J75" s="5" t="s">
        <v>34</v>
      </c>
      <c r="K75" s="5" t="s">
        <v>35</v>
      </c>
      <c r="L75" s="5" t="s">
        <v>35</v>
      </c>
      <c r="M75" s="51">
        <v>24</v>
      </c>
      <c r="N75" s="43" t="s">
        <v>71</v>
      </c>
      <c r="O75" s="71">
        <v>4000000</v>
      </c>
      <c r="P75" s="72">
        <v>360</v>
      </c>
      <c r="Q75" s="74">
        <v>0.2</v>
      </c>
      <c r="R75" s="16">
        <f t="shared" si="13"/>
        <v>800000</v>
      </c>
      <c r="S75" s="8">
        <f t="shared" si="14"/>
        <v>72</v>
      </c>
      <c r="T75" s="19">
        <f t="shared" si="15"/>
        <v>7.5000000000000011E-2</v>
      </c>
      <c r="U75" s="19">
        <f t="shared" si="16"/>
        <v>0.32500000000000001</v>
      </c>
      <c r="V75" s="19">
        <f t="shared" si="17"/>
        <v>7.216878364870323E-2</v>
      </c>
      <c r="W75" s="16">
        <f t="shared" si="12"/>
        <v>923082.61523207079</v>
      </c>
      <c r="X75" s="16">
        <f t="shared" si="12"/>
        <v>952255.33354310819</v>
      </c>
      <c r="Y75" s="347">
        <f t="shared" si="12"/>
        <v>995417.41280354373</v>
      </c>
      <c r="Z75" s="16"/>
      <c r="AA75" s="11"/>
    </row>
    <row r="76" spans="1:27" s="2" customFormat="1" ht="30" hidden="1" x14ac:dyDescent="0.25">
      <c r="A76" s="42" t="s">
        <v>207</v>
      </c>
      <c r="B76" s="59"/>
      <c r="C76" s="42" t="s">
        <v>61</v>
      </c>
      <c r="D76" s="43" t="s">
        <v>208</v>
      </c>
      <c r="E76" s="43"/>
      <c r="F76" s="85"/>
      <c r="G76" s="43"/>
      <c r="H76" s="5" t="s">
        <v>155</v>
      </c>
      <c r="I76" s="5" t="s">
        <v>34</v>
      </c>
      <c r="J76" s="5" t="s">
        <v>34</v>
      </c>
      <c r="K76" s="5" t="s">
        <v>35</v>
      </c>
      <c r="L76" s="5" t="s">
        <v>35</v>
      </c>
      <c r="M76" s="53">
        <v>4</v>
      </c>
      <c r="N76" s="43" t="s">
        <v>71</v>
      </c>
      <c r="O76" s="16"/>
      <c r="P76" s="8"/>
      <c r="Q76" s="9"/>
      <c r="R76" s="16">
        <f t="shared" si="13"/>
        <v>0</v>
      </c>
      <c r="S76" s="8">
        <f t="shared" si="14"/>
        <v>0</v>
      </c>
      <c r="T76" s="19">
        <f t="shared" si="15"/>
        <v>0</v>
      </c>
      <c r="U76" s="19">
        <f t="shared" si="16"/>
        <v>0</v>
      </c>
      <c r="V76" s="19">
        <f t="shared" si="17"/>
        <v>0</v>
      </c>
      <c r="W76" s="16">
        <f t="shared" si="12"/>
        <v>0</v>
      </c>
      <c r="X76" s="16">
        <f t="shared" si="12"/>
        <v>0</v>
      </c>
      <c r="Y76" s="347">
        <f t="shared" si="12"/>
        <v>0</v>
      </c>
      <c r="Z76" s="16"/>
      <c r="AA76" s="11"/>
    </row>
    <row r="77" spans="1:27" s="2" customFormat="1" ht="105" hidden="1" x14ac:dyDescent="0.25">
      <c r="A77" s="42" t="s">
        <v>297</v>
      </c>
      <c r="B77" s="59"/>
      <c r="C77" s="42" t="s">
        <v>61</v>
      </c>
      <c r="D77" s="44" t="s">
        <v>298</v>
      </c>
      <c r="E77" s="44"/>
      <c r="F77" s="86"/>
      <c r="G77" s="43" t="s">
        <v>253</v>
      </c>
      <c r="H77" s="5" t="s">
        <v>36</v>
      </c>
      <c r="I77" s="5" t="s">
        <v>34</v>
      </c>
      <c r="J77" s="5" t="s">
        <v>34</v>
      </c>
      <c r="K77" s="5" t="s">
        <v>35</v>
      </c>
      <c r="L77" s="5" t="s">
        <v>35</v>
      </c>
      <c r="M77" s="5">
        <v>0</v>
      </c>
      <c r="N77" s="43" t="s">
        <v>71</v>
      </c>
      <c r="O77" s="16"/>
      <c r="P77" s="8"/>
      <c r="Q77" s="9"/>
      <c r="R77" s="16">
        <f t="shared" si="13"/>
        <v>0</v>
      </c>
      <c r="S77" s="8">
        <f t="shared" si="14"/>
        <v>0</v>
      </c>
      <c r="T77" s="19">
        <f t="shared" si="15"/>
        <v>0</v>
      </c>
      <c r="U77" s="19">
        <f t="shared" si="16"/>
        <v>0</v>
      </c>
      <c r="V77" s="19">
        <f t="shared" si="17"/>
        <v>0</v>
      </c>
      <c r="W77" s="16">
        <f t="shared" si="12"/>
        <v>0</v>
      </c>
      <c r="X77" s="16">
        <f t="shared" si="12"/>
        <v>0</v>
      </c>
      <c r="Y77" s="347">
        <f t="shared" si="12"/>
        <v>0</v>
      </c>
      <c r="Z77" s="16"/>
      <c r="AA77" s="11"/>
    </row>
    <row r="78" spans="1:27" s="2" customFormat="1" ht="30" hidden="1" x14ac:dyDescent="0.25">
      <c r="A78" s="42" t="s">
        <v>69</v>
      </c>
      <c r="B78" s="59">
        <v>3368</v>
      </c>
      <c r="C78" s="42" t="s">
        <v>61</v>
      </c>
      <c r="D78" s="43" t="s">
        <v>70</v>
      </c>
      <c r="E78" s="43" t="s">
        <v>340</v>
      </c>
      <c r="F78" s="85"/>
      <c r="G78" s="43"/>
      <c r="H78" s="5" t="s">
        <v>36</v>
      </c>
      <c r="I78" s="5" t="s">
        <v>34</v>
      </c>
      <c r="J78" s="5" t="s">
        <v>34</v>
      </c>
      <c r="K78" s="5" t="s">
        <v>35</v>
      </c>
      <c r="L78" s="5" t="s">
        <v>35</v>
      </c>
      <c r="M78" s="51">
        <v>24</v>
      </c>
      <c r="N78" s="43" t="s">
        <v>71</v>
      </c>
      <c r="O78" s="71">
        <v>3000000</v>
      </c>
      <c r="P78" s="72">
        <v>360</v>
      </c>
      <c r="Q78" s="9">
        <v>0.15</v>
      </c>
      <c r="R78" s="16">
        <f t="shared" si="13"/>
        <v>450000</v>
      </c>
      <c r="S78" s="8">
        <f t="shared" si="14"/>
        <v>54</v>
      </c>
      <c r="T78" s="19">
        <f t="shared" si="15"/>
        <v>2.4999999999999994E-2</v>
      </c>
      <c r="U78" s="19">
        <f t="shared" si="16"/>
        <v>0.27500000000000002</v>
      </c>
      <c r="V78" s="19">
        <f t="shared" si="17"/>
        <v>7.216878364870323E-2</v>
      </c>
      <c r="W78" s="16">
        <f t="shared" si="12"/>
        <v>519233.97106803977</v>
      </c>
      <c r="X78" s="16">
        <f t="shared" si="12"/>
        <v>535643.62511799845</v>
      </c>
      <c r="Y78" s="347">
        <f t="shared" si="12"/>
        <v>559922.29470199335</v>
      </c>
      <c r="Z78" s="16"/>
      <c r="AA78" s="11"/>
    </row>
    <row r="79" spans="1:27" s="2" customFormat="1" ht="30" hidden="1" x14ac:dyDescent="0.25">
      <c r="A79" s="42" t="s">
        <v>295</v>
      </c>
      <c r="B79" s="59"/>
      <c r="C79" s="42" t="s">
        <v>61</v>
      </c>
      <c r="D79" s="44" t="s">
        <v>296</v>
      </c>
      <c r="E79" s="44"/>
      <c r="F79" s="86"/>
      <c r="G79" s="43" t="s">
        <v>253</v>
      </c>
      <c r="H79" s="5" t="s">
        <v>33</v>
      </c>
      <c r="I79" s="5" t="s">
        <v>35</v>
      </c>
      <c r="J79" s="5" t="s">
        <v>36</v>
      </c>
      <c r="K79" s="5" t="s">
        <v>35</v>
      </c>
      <c r="L79" s="5" t="s">
        <v>35</v>
      </c>
      <c r="M79" s="5">
        <v>0</v>
      </c>
      <c r="N79" s="43" t="s">
        <v>71</v>
      </c>
      <c r="O79" s="16"/>
      <c r="P79" s="8"/>
      <c r="Q79" s="9"/>
      <c r="R79" s="16">
        <f t="shared" si="13"/>
        <v>0</v>
      </c>
      <c r="S79" s="8">
        <f t="shared" si="14"/>
        <v>0</v>
      </c>
      <c r="T79" s="19">
        <f t="shared" si="15"/>
        <v>0</v>
      </c>
      <c r="U79" s="19">
        <f t="shared" si="16"/>
        <v>0</v>
      </c>
      <c r="V79" s="19">
        <f t="shared" si="17"/>
        <v>0</v>
      </c>
      <c r="W79" s="16">
        <f t="shared" ref="W79:Y98" si="18">W$121*$R79/$R$121  *  IF($T$1="Y", 1, IF($O79&lt;0,0,1))</f>
        <v>0</v>
      </c>
      <c r="X79" s="16">
        <f t="shared" si="18"/>
        <v>0</v>
      </c>
      <c r="Y79" s="347">
        <f t="shared" si="18"/>
        <v>0</v>
      </c>
      <c r="Z79" s="16"/>
      <c r="AA79" s="11"/>
    </row>
    <row r="80" spans="1:27" s="2" customFormat="1" ht="45" hidden="1" x14ac:dyDescent="0.25">
      <c r="A80" s="42" t="s">
        <v>88</v>
      </c>
      <c r="B80" s="59">
        <v>3369</v>
      </c>
      <c r="C80" s="42" t="s">
        <v>61</v>
      </c>
      <c r="D80" s="43" t="s">
        <v>89</v>
      </c>
      <c r="E80" s="43" t="s">
        <v>347</v>
      </c>
      <c r="F80" s="85">
        <v>20000</v>
      </c>
      <c r="G80" s="43"/>
      <c r="H80" s="75" t="s">
        <v>36</v>
      </c>
      <c r="I80" s="5" t="s">
        <v>35</v>
      </c>
      <c r="J80" s="5" t="s">
        <v>33</v>
      </c>
      <c r="K80" s="5" t="s">
        <v>35</v>
      </c>
      <c r="L80" s="5" t="s">
        <v>35</v>
      </c>
      <c r="M80" s="51">
        <v>24</v>
      </c>
      <c r="N80" s="43" t="s">
        <v>71</v>
      </c>
      <c r="O80" s="71">
        <v>200000</v>
      </c>
      <c r="P80" s="72">
        <v>0</v>
      </c>
      <c r="Q80" s="74">
        <v>0.2</v>
      </c>
      <c r="R80" s="16">
        <f t="shared" si="13"/>
        <v>40000</v>
      </c>
      <c r="S80" s="8">
        <f t="shared" si="14"/>
        <v>0</v>
      </c>
      <c r="T80" s="19">
        <f t="shared" si="15"/>
        <v>7.5000000000000011E-2</v>
      </c>
      <c r="U80" s="19">
        <f t="shared" si="16"/>
        <v>0.32500000000000001</v>
      </c>
      <c r="V80" s="19">
        <f t="shared" si="17"/>
        <v>7.216878364870323E-2</v>
      </c>
      <c r="W80" s="16">
        <f t="shared" si="18"/>
        <v>46154.130761603541</v>
      </c>
      <c r="X80" s="16">
        <f t="shared" si="18"/>
        <v>47612.766677155414</v>
      </c>
      <c r="Y80" s="347">
        <f t="shared" si="18"/>
        <v>49770.870640177192</v>
      </c>
      <c r="Z80" s="16"/>
      <c r="AA80" s="11"/>
    </row>
    <row r="81" spans="1:27" s="2" customFormat="1" ht="45" hidden="1" x14ac:dyDescent="0.25">
      <c r="A81" s="42" t="s">
        <v>135</v>
      </c>
      <c r="B81" s="59">
        <v>3370</v>
      </c>
      <c r="C81" s="42" t="s">
        <v>61</v>
      </c>
      <c r="D81" s="89" t="s">
        <v>136</v>
      </c>
      <c r="E81" s="89"/>
      <c r="F81" s="88"/>
      <c r="G81" s="43" t="s">
        <v>63</v>
      </c>
      <c r="H81" s="5" t="s">
        <v>33</v>
      </c>
      <c r="I81" s="5" t="s">
        <v>35</v>
      </c>
      <c r="J81" s="5" t="s">
        <v>35</v>
      </c>
      <c r="K81" s="5" t="s">
        <v>33</v>
      </c>
      <c r="L81" s="5" t="s">
        <v>35</v>
      </c>
      <c r="M81" s="52">
        <v>10</v>
      </c>
      <c r="N81" s="43" t="s">
        <v>71</v>
      </c>
      <c r="O81" s="16">
        <v>0</v>
      </c>
      <c r="P81" s="8"/>
      <c r="Q81" s="9">
        <v>0.5</v>
      </c>
      <c r="R81" s="16">
        <f t="shared" si="13"/>
        <v>0</v>
      </c>
      <c r="S81" s="8">
        <f t="shared" si="14"/>
        <v>0</v>
      </c>
      <c r="T81" s="19">
        <f t="shared" si="15"/>
        <v>0.375</v>
      </c>
      <c r="U81" s="19">
        <f t="shared" si="16"/>
        <v>0.625</v>
      </c>
      <c r="V81" s="19">
        <f t="shared" si="17"/>
        <v>7.216878364870323E-2</v>
      </c>
      <c r="W81" s="16">
        <f t="shared" si="18"/>
        <v>0</v>
      </c>
      <c r="X81" s="16">
        <f t="shared" si="18"/>
        <v>0</v>
      </c>
      <c r="Y81" s="347">
        <f t="shared" si="18"/>
        <v>0</v>
      </c>
      <c r="Z81" s="16"/>
      <c r="AA81" s="11"/>
    </row>
    <row r="82" spans="1:27" s="2" customFormat="1" ht="45" hidden="1" x14ac:dyDescent="0.25">
      <c r="A82" s="42" t="s">
        <v>209</v>
      </c>
      <c r="B82" s="59"/>
      <c r="C82" s="42" t="s">
        <v>61</v>
      </c>
      <c r="D82" s="89" t="s">
        <v>98</v>
      </c>
      <c r="E82" s="89"/>
      <c r="F82" s="88"/>
      <c r="G82" s="43" t="s">
        <v>63</v>
      </c>
      <c r="H82" s="5" t="s">
        <v>155</v>
      </c>
      <c r="I82" s="5" t="s">
        <v>35</v>
      </c>
      <c r="J82" s="5" t="s">
        <v>35</v>
      </c>
      <c r="K82" s="5" t="s">
        <v>34</v>
      </c>
      <c r="L82" s="5" t="s">
        <v>35</v>
      </c>
      <c r="M82" s="53">
        <v>4</v>
      </c>
      <c r="N82" s="43" t="s">
        <v>71</v>
      </c>
      <c r="O82" s="16"/>
      <c r="P82" s="8"/>
      <c r="Q82" s="9"/>
      <c r="R82" s="16">
        <f t="shared" si="13"/>
        <v>0</v>
      </c>
      <c r="S82" s="8">
        <f t="shared" si="14"/>
        <v>0</v>
      </c>
      <c r="T82" s="19">
        <f t="shared" si="15"/>
        <v>0</v>
      </c>
      <c r="U82" s="19">
        <f t="shared" si="16"/>
        <v>0</v>
      </c>
      <c r="V82" s="19">
        <f t="shared" si="17"/>
        <v>0</v>
      </c>
      <c r="W82" s="16">
        <f t="shared" si="18"/>
        <v>0</v>
      </c>
      <c r="X82" s="16">
        <f t="shared" si="18"/>
        <v>0</v>
      </c>
      <c r="Y82" s="347">
        <f t="shared" si="18"/>
        <v>0</v>
      </c>
      <c r="Z82" s="16"/>
      <c r="AA82" s="11"/>
    </row>
    <row r="83" spans="1:27" s="2" customFormat="1" ht="75" hidden="1" x14ac:dyDescent="0.25">
      <c r="A83" s="42" t="s">
        <v>133</v>
      </c>
      <c r="B83" s="59">
        <v>3371</v>
      </c>
      <c r="C83" s="42" t="s">
        <v>61</v>
      </c>
      <c r="D83" s="89" t="s">
        <v>134</v>
      </c>
      <c r="E83" s="89"/>
      <c r="F83" s="88">
        <v>200000</v>
      </c>
      <c r="G83" s="54" t="s">
        <v>299</v>
      </c>
      <c r="H83" s="5" t="s">
        <v>33</v>
      </c>
      <c r="I83" s="5" t="s">
        <v>35</v>
      </c>
      <c r="J83" s="5" t="s">
        <v>35</v>
      </c>
      <c r="K83" s="5" t="s">
        <v>33</v>
      </c>
      <c r="L83" s="5" t="s">
        <v>35</v>
      </c>
      <c r="M83" s="52">
        <v>10</v>
      </c>
      <c r="N83" s="43" t="s">
        <v>71</v>
      </c>
      <c r="O83" s="16">
        <v>0</v>
      </c>
      <c r="P83" s="8"/>
      <c r="Q83" s="9">
        <v>0.5</v>
      </c>
      <c r="R83" s="16">
        <f t="shared" si="13"/>
        <v>0</v>
      </c>
      <c r="S83" s="8">
        <f t="shared" si="14"/>
        <v>0</v>
      </c>
      <c r="T83" s="19">
        <f t="shared" si="15"/>
        <v>0.375</v>
      </c>
      <c r="U83" s="19">
        <f t="shared" si="16"/>
        <v>0.625</v>
      </c>
      <c r="V83" s="19">
        <f t="shared" si="17"/>
        <v>7.216878364870323E-2</v>
      </c>
      <c r="W83" s="16">
        <f t="shared" si="18"/>
        <v>0</v>
      </c>
      <c r="X83" s="16">
        <f t="shared" si="18"/>
        <v>0</v>
      </c>
      <c r="Y83" s="347">
        <f t="shared" si="18"/>
        <v>0</v>
      </c>
      <c r="Z83" s="16"/>
      <c r="AA83" s="11"/>
    </row>
    <row r="84" spans="1:27" s="2" customFormat="1" ht="30" hidden="1" x14ac:dyDescent="0.25">
      <c r="A84" s="42" t="s">
        <v>108</v>
      </c>
      <c r="B84" s="59">
        <v>3372</v>
      </c>
      <c r="C84" s="42" t="s">
        <v>61</v>
      </c>
      <c r="D84" s="43" t="s">
        <v>109</v>
      </c>
      <c r="E84" s="43" t="s">
        <v>346</v>
      </c>
      <c r="F84" s="85">
        <v>50000</v>
      </c>
      <c r="G84" s="43"/>
      <c r="H84" s="5" t="s">
        <v>36</v>
      </c>
      <c r="I84" s="5" t="s">
        <v>34</v>
      </c>
      <c r="J84" s="5" t="s">
        <v>34</v>
      </c>
      <c r="K84" s="5" t="s">
        <v>35</v>
      </c>
      <c r="L84" s="5" t="s">
        <v>35</v>
      </c>
      <c r="M84" s="52">
        <v>12</v>
      </c>
      <c r="N84" s="43" t="s">
        <v>71</v>
      </c>
      <c r="O84" s="71">
        <v>3000000</v>
      </c>
      <c r="P84" s="72">
        <v>360</v>
      </c>
      <c r="Q84" s="9">
        <v>0.15</v>
      </c>
      <c r="R84" s="16">
        <f t="shared" si="13"/>
        <v>450000</v>
      </c>
      <c r="S84" s="8">
        <f t="shared" si="14"/>
        <v>54</v>
      </c>
      <c r="T84" s="19">
        <f t="shared" si="15"/>
        <v>2.4999999999999994E-2</v>
      </c>
      <c r="U84" s="19">
        <f t="shared" si="16"/>
        <v>0.27500000000000002</v>
      </c>
      <c r="V84" s="19">
        <f t="shared" si="17"/>
        <v>7.216878364870323E-2</v>
      </c>
      <c r="W84" s="16">
        <f t="shared" si="18"/>
        <v>519233.97106803977</v>
      </c>
      <c r="X84" s="16">
        <f t="shared" si="18"/>
        <v>535643.62511799845</v>
      </c>
      <c r="Y84" s="347">
        <f t="shared" si="18"/>
        <v>559922.29470199335</v>
      </c>
      <c r="Z84" s="16"/>
      <c r="AA84" s="11"/>
    </row>
    <row r="85" spans="1:27" s="2" customFormat="1" ht="45" hidden="1" x14ac:dyDescent="0.25">
      <c r="A85" s="42" t="s">
        <v>170</v>
      </c>
      <c r="B85" s="59">
        <v>3373</v>
      </c>
      <c r="C85" s="42" t="s">
        <v>61</v>
      </c>
      <c r="D85" s="43" t="s">
        <v>171</v>
      </c>
      <c r="E85" s="43" t="s">
        <v>348</v>
      </c>
      <c r="F85" s="85">
        <v>100000</v>
      </c>
      <c r="G85" s="43"/>
      <c r="H85" s="5" t="s">
        <v>36</v>
      </c>
      <c r="I85" s="5" t="s">
        <v>35</v>
      </c>
      <c r="J85" s="5" t="s">
        <v>36</v>
      </c>
      <c r="K85" s="5" t="s">
        <v>36</v>
      </c>
      <c r="L85" s="5" t="s">
        <v>155</v>
      </c>
      <c r="M85" s="52">
        <v>6</v>
      </c>
      <c r="N85" s="43" t="s">
        <v>172</v>
      </c>
      <c r="O85" s="16">
        <v>75000</v>
      </c>
      <c r="P85" s="8"/>
      <c r="Q85" s="9">
        <v>0.1</v>
      </c>
      <c r="R85" s="16">
        <f t="shared" si="13"/>
        <v>7500</v>
      </c>
      <c r="S85" s="8">
        <f t="shared" si="14"/>
        <v>0</v>
      </c>
      <c r="T85" s="19">
        <f t="shared" si="15"/>
        <v>-2.4999999999999994E-2</v>
      </c>
      <c r="U85" s="19">
        <f t="shared" si="16"/>
        <v>0.22500000000000001</v>
      </c>
      <c r="V85" s="19">
        <f t="shared" si="17"/>
        <v>7.216878364870323E-2</v>
      </c>
      <c r="W85" s="16">
        <f t="shared" si="18"/>
        <v>8653.8995178006626</v>
      </c>
      <c r="X85" s="16">
        <f t="shared" si="18"/>
        <v>8927.3937519666397</v>
      </c>
      <c r="Y85" s="347">
        <f t="shared" si="18"/>
        <v>9332.0382450332236</v>
      </c>
      <c r="Z85" s="16"/>
      <c r="AA85" s="11"/>
    </row>
    <row r="86" spans="1:27" s="2" customFormat="1" ht="39" hidden="1" x14ac:dyDescent="0.25">
      <c r="A86" s="42" t="s">
        <v>332</v>
      </c>
      <c r="B86" s="59" t="s">
        <v>333</v>
      </c>
      <c r="C86" s="42" t="s">
        <v>61</v>
      </c>
      <c r="D86" s="84" t="s">
        <v>334</v>
      </c>
      <c r="E86" s="43" t="s">
        <v>335</v>
      </c>
      <c r="F86" s="85"/>
      <c r="G86" s="43"/>
      <c r="H86" s="5" t="s">
        <v>33</v>
      </c>
      <c r="I86" s="5" t="s">
        <v>35</v>
      </c>
      <c r="J86" s="5" t="s">
        <v>34</v>
      </c>
      <c r="K86" s="5" t="s">
        <v>35</v>
      </c>
      <c r="L86" s="5" t="s">
        <v>35</v>
      </c>
      <c r="M86" s="52"/>
      <c r="N86" s="83" t="s">
        <v>336</v>
      </c>
      <c r="O86" s="16">
        <v>300000</v>
      </c>
      <c r="P86" s="8"/>
      <c r="Q86" s="9">
        <v>0.5</v>
      </c>
      <c r="R86" s="16">
        <f t="shared" si="13"/>
        <v>150000</v>
      </c>
      <c r="S86" s="8">
        <f t="shared" si="14"/>
        <v>0</v>
      </c>
      <c r="T86" s="19">
        <f t="shared" si="15"/>
        <v>0.375</v>
      </c>
      <c r="U86" s="19">
        <f t="shared" si="16"/>
        <v>0.625</v>
      </c>
      <c r="V86" s="19">
        <f t="shared" si="17"/>
        <v>7.216878364870323E-2</v>
      </c>
      <c r="W86" s="16">
        <f t="shared" si="18"/>
        <v>173077.99035601327</v>
      </c>
      <c r="X86" s="16">
        <f t="shared" si="18"/>
        <v>178547.87503933278</v>
      </c>
      <c r="Y86" s="347">
        <f t="shared" si="18"/>
        <v>186640.76490066448</v>
      </c>
      <c r="Z86" s="16"/>
      <c r="AA86" s="11"/>
    </row>
    <row r="87" spans="1:27" s="2" customFormat="1" ht="45" hidden="1" customHeight="1" x14ac:dyDescent="0.25">
      <c r="A87" s="42" t="s">
        <v>111</v>
      </c>
      <c r="B87" s="59">
        <v>3382</v>
      </c>
      <c r="C87" s="42" t="s">
        <v>61</v>
      </c>
      <c r="D87" s="90" t="s">
        <v>305</v>
      </c>
      <c r="E87" s="90"/>
      <c r="F87" s="91"/>
      <c r="G87" s="43" t="s">
        <v>63</v>
      </c>
      <c r="H87" s="5" t="s">
        <v>36</v>
      </c>
      <c r="I87" s="5" t="s">
        <v>35</v>
      </c>
      <c r="J87" s="5" t="s">
        <v>35</v>
      </c>
      <c r="K87" s="5" t="s">
        <v>34</v>
      </c>
      <c r="L87" s="5" t="s">
        <v>35</v>
      </c>
      <c r="M87" s="52">
        <v>12</v>
      </c>
      <c r="N87" s="43" t="s">
        <v>112</v>
      </c>
      <c r="O87" s="16">
        <v>0</v>
      </c>
      <c r="P87" s="8"/>
      <c r="Q87" s="9">
        <v>0.17</v>
      </c>
      <c r="R87" s="16">
        <f t="shared" si="13"/>
        <v>0</v>
      </c>
      <c r="S87" s="8">
        <f t="shared" si="14"/>
        <v>0</v>
      </c>
      <c r="T87" s="19">
        <f t="shared" si="15"/>
        <v>4.5000000000000012E-2</v>
      </c>
      <c r="U87" s="19">
        <f t="shared" si="16"/>
        <v>0.29500000000000004</v>
      </c>
      <c r="V87" s="19">
        <f t="shared" si="17"/>
        <v>7.216878364870323E-2</v>
      </c>
      <c r="W87" s="16">
        <f t="shared" si="18"/>
        <v>0</v>
      </c>
      <c r="X87" s="16">
        <f t="shared" si="18"/>
        <v>0</v>
      </c>
      <c r="Y87" s="347">
        <f t="shared" si="18"/>
        <v>0</v>
      </c>
      <c r="Z87" s="16"/>
      <c r="AA87" s="11"/>
    </row>
    <row r="88" spans="1:27" s="2" customFormat="1" ht="45" hidden="1" customHeight="1" x14ac:dyDescent="0.25">
      <c r="A88" s="42" t="s">
        <v>9</v>
      </c>
      <c r="B88" s="59">
        <v>3383</v>
      </c>
      <c r="C88" s="42" t="s">
        <v>61</v>
      </c>
      <c r="D88" s="44" t="s">
        <v>10</v>
      </c>
      <c r="E88" s="44"/>
      <c r="F88" s="86"/>
      <c r="G88" s="43" t="s">
        <v>253</v>
      </c>
      <c r="H88" s="5" t="s">
        <v>36</v>
      </c>
      <c r="I88" s="5" t="s">
        <v>34</v>
      </c>
      <c r="J88" s="5" t="s">
        <v>34</v>
      </c>
      <c r="K88" s="5" t="s">
        <v>35</v>
      </c>
      <c r="L88" s="5" t="s">
        <v>35</v>
      </c>
      <c r="M88" s="58">
        <v>0</v>
      </c>
      <c r="N88" s="43" t="s">
        <v>8</v>
      </c>
      <c r="O88" s="16"/>
      <c r="P88" s="8"/>
      <c r="Q88" s="9"/>
      <c r="R88" s="16">
        <f t="shared" si="13"/>
        <v>0</v>
      </c>
      <c r="S88" s="8">
        <f t="shared" si="14"/>
        <v>0</v>
      </c>
      <c r="T88" s="19">
        <f t="shared" si="15"/>
        <v>0</v>
      </c>
      <c r="U88" s="19">
        <f t="shared" si="16"/>
        <v>0</v>
      </c>
      <c r="V88" s="19">
        <f t="shared" si="17"/>
        <v>0</v>
      </c>
      <c r="W88" s="16">
        <f t="shared" si="18"/>
        <v>0</v>
      </c>
      <c r="X88" s="16">
        <f t="shared" si="18"/>
        <v>0</v>
      </c>
      <c r="Y88" s="347">
        <f t="shared" si="18"/>
        <v>0</v>
      </c>
      <c r="Z88" s="16"/>
      <c r="AA88" s="11"/>
    </row>
    <row r="89" spans="1:27" s="2" customFormat="1" ht="30" hidden="1" customHeight="1" x14ac:dyDescent="0.25">
      <c r="A89" s="42" t="s">
        <v>99</v>
      </c>
      <c r="B89" s="59"/>
      <c r="C89" s="42" t="s">
        <v>61</v>
      </c>
      <c r="D89" s="43" t="s">
        <v>100</v>
      </c>
      <c r="E89" s="43"/>
      <c r="F89" s="85"/>
      <c r="G89" s="43"/>
      <c r="H89" s="5" t="s">
        <v>155</v>
      </c>
      <c r="I89" s="5" t="s">
        <v>34</v>
      </c>
      <c r="J89" s="5" t="s">
        <v>33</v>
      </c>
      <c r="K89" s="5" t="s">
        <v>34</v>
      </c>
      <c r="L89" s="5" t="s">
        <v>35</v>
      </c>
      <c r="M89" s="53">
        <v>4</v>
      </c>
      <c r="N89" s="43" t="s">
        <v>101</v>
      </c>
      <c r="O89" s="16"/>
      <c r="P89" s="8"/>
      <c r="Q89" s="9"/>
      <c r="R89" s="16">
        <f t="shared" si="13"/>
        <v>0</v>
      </c>
      <c r="S89" s="8">
        <f t="shared" si="14"/>
        <v>0</v>
      </c>
      <c r="T89" s="19">
        <f t="shared" si="15"/>
        <v>0</v>
      </c>
      <c r="U89" s="19">
        <f t="shared" si="16"/>
        <v>0</v>
      </c>
      <c r="V89" s="19">
        <f t="shared" si="17"/>
        <v>0</v>
      </c>
      <c r="W89" s="16">
        <f t="shared" si="18"/>
        <v>0</v>
      </c>
      <c r="X89" s="16">
        <f t="shared" si="18"/>
        <v>0</v>
      </c>
      <c r="Y89" s="347">
        <f t="shared" si="18"/>
        <v>0</v>
      </c>
      <c r="Z89" s="16"/>
      <c r="AA89" s="11"/>
    </row>
    <row r="90" spans="1:27" s="2" customFormat="1" ht="30" hidden="1" customHeight="1" x14ac:dyDescent="0.25">
      <c r="A90" s="42" t="s">
        <v>250</v>
      </c>
      <c r="B90" s="59"/>
      <c r="C90" s="42" t="s">
        <v>61</v>
      </c>
      <c r="D90" s="43" t="s">
        <v>138</v>
      </c>
      <c r="E90" s="43"/>
      <c r="F90" s="85"/>
      <c r="G90" s="43"/>
      <c r="H90" s="5" t="s">
        <v>155</v>
      </c>
      <c r="I90" s="5" t="s">
        <v>35</v>
      </c>
      <c r="J90" s="5" t="s">
        <v>36</v>
      </c>
      <c r="K90" s="5" t="s">
        <v>35</v>
      </c>
      <c r="L90" s="5" t="s">
        <v>35</v>
      </c>
      <c r="M90" s="53">
        <v>1</v>
      </c>
      <c r="N90" s="43" t="s">
        <v>8</v>
      </c>
      <c r="O90" s="16"/>
      <c r="P90" s="8"/>
      <c r="Q90" s="9"/>
      <c r="R90" s="16">
        <f t="shared" si="13"/>
        <v>0</v>
      </c>
      <c r="S90" s="8">
        <f t="shared" si="14"/>
        <v>0</v>
      </c>
      <c r="T90" s="19">
        <f t="shared" si="15"/>
        <v>0</v>
      </c>
      <c r="U90" s="19">
        <f t="shared" si="16"/>
        <v>0</v>
      </c>
      <c r="V90" s="19">
        <f t="shared" si="17"/>
        <v>0</v>
      </c>
      <c r="W90" s="16">
        <f t="shared" si="18"/>
        <v>0</v>
      </c>
      <c r="X90" s="16">
        <f t="shared" si="18"/>
        <v>0</v>
      </c>
      <c r="Y90" s="347">
        <f t="shared" si="18"/>
        <v>0</v>
      </c>
      <c r="Z90" s="16"/>
      <c r="AA90" s="11"/>
    </row>
    <row r="91" spans="1:27" s="2" customFormat="1" ht="30" hidden="1" x14ac:dyDescent="0.25">
      <c r="A91" s="42" t="s">
        <v>137</v>
      </c>
      <c r="B91" s="59">
        <v>3384</v>
      </c>
      <c r="C91" s="42" t="s">
        <v>121</v>
      </c>
      <c r="D91" s="100" t="s">
        <v>138</v>
      </c>
      <c r="E91" s="100"/>
      <c r="F91" s="101"/>
      <c r="G91" s="43" t="s">
        <v>308</v>
      </c>
      <c r="H91" s="5" t="s">
        <v>33</v>
      </c>
      <c r="I91" s="5" t="s">
        <v>35</v>
      </c>
      <c r="J91" s="5" t="s">
        <v>33</v>
      </c>
      <c r="K91" s="5" t="s">
        <v>35</v>
      </c>
      <c r="L91" s="5" t="s">
        <v>35</v>
      </c>
      <c r="M91" s="52">
        <v>10</v>
      </c>
      <c r="N91" s="43" t="s">
        <v>8</v>
      </c>
      <c r="O91" s="16">
        <v>-175000</v>
      </c>
      <c r="P91" s="8"/>
      <c r="Q91" s="9">
        <v>0.5</v>
      </c>
      <c r="R91" s="16">
        <f t="shared" si="13"/>
        <v>-87500</v>
      </c>
      <c r="S91" s="8">
        <f t="shared" si="14"/>
        <v>0</v>
      </c>
      <c r="T91" s="19">
        <f t="shared" si="15"/>
        <v>0.375</v>
      </c>
      <c r="U91" s="19">
        <f t="shared" si="16"/>
        <v>0.625</v>
      </c>
      <c r="V91" s="19">
        <f t="shared" si="17"/>
        <v>7.216878364870323E-2</v>
      </c>
      <c r="W91" s="16">
        <f t="shared" si="18"/>
        <v>-100962.16104100773</v>
      </c>
      <c r="X91" s="16">
        <f t="shared" si="18"/>
        <v>-104152.92710627746</v>
      </c>
      <c r="Y91" s="347">
        <f t="shared" si="18"/>
        <v>-108873.77952538761</v>
      </c>
      <c r="Z91" s="16"/>
      <c r="AA91" s="11"/>
    </row>
    <row r="92" spans="1:27" s="2" customFormat="1" ht="45" hidden="1" x14ac:dyDescent="0.25">
      <c r="A92" s="42" t="s">
        <v>195</v>
      </c>
      <c r="B92" s="59">
        <v>3385</v>
      </c>
      <c r="C92" s="42" t="s">
        <v>61</v>
      </c>
      <c r="D92" s="89" t="s">
        <v>196</v>
      </c>
      <c r="E92" s="89"/>
      <c r="F92" s="88"/>
      <c r="G92" s="43" t="s">
        <v>63</v>
      </c>
      <c r="H92" s="5" t="s">
        <v>155</v>
      </c>
      <c r="I92" s="5" t="s">
        <v>36</v>
      </c>
      <c r="J92" s="5" t="s">
        <v>35</v>
      </c>
      <c r="K92" s="5" t="s">
        <v>33</v>
      </c>
      <c r="L92" s="5" t="s">
        <v>35</v>
      </c>
      <c r="M92" s="52">
        <v>6</v>
      </c>
      <c r="N92" s="43" t="s">
        <v>8</v>
      </c>
      <c r="O92" s="16">
        <v>0</v>
      </c>
      <c r="P92" s="8"/>
      <c r="Q92" s="9">
        <v>0.17</v>
      </c>
      <c r="R92" s="16">
        <f t="shared" si="13"/>
        <v>0</v>
      </c>
      <c r="S92" s="8">
        <f t="shared" si="14"/>
        <v>0</v>
      </c>
      <c r="T92" s="19">
        <f t="shared" si="15"/>
        <v>4.5000000000000012E-2</v>
      </c>
      <c r="U92" s="19">
        <f t="shared" si="16"/>
        <v>0.29500000000000004</v>
      </c>
      <c r="V92" s="19">
        <f t="shared" si="17"/>
        <v>7.216878364870323E-2</v>
      </c>
      <c r="W92" s="16">
        <f t="shared" si="18"/>
        <v>0</v>
      </c>
      <c r="X92" s="16">
        <f t="shared" si="18"/>
        <v>0</v>
      </c>
      <c r="Y92" s="347">
        <f t="shared" si="18"/>
        <v>0</v>
      </c>
      <c r="Z92" s="16"/>
      <c r="AA92" s="11"/>
    </row>
    <row r="93" spans="1:27" s="2" customFormat="1" ht="30" hidden="1" x14ac:dyDescent="0.25">
      <c r="A93" s="42" t="s">
        <v>153</v>
      </c>
      <c r="B93" s="59">
        <v>3386</v>
      </c>
      <c r="C93" s="42" t="s">
        <v>61</v>
      </c>
      <c r="D93" s="43" t="s">
        <v>154</v>
      </c>
      <c r="E93" s="43"/>
      <c r="F93" s="85"/>
      <c r="G93" s="43"/>
      <c r="H93" s="5" t="s">
        <v>155</v>
      </c>
      <c r="I93" s="5" t="s">
        <v>64</v>
      </c>
      <c r="J93" s="5" t="s">
        <v>64</v>
      </c>
      <c r="K93" s="5" t="s">
        <v>64</v>
      </c>
      <c r="L93" s="5" t="s">
        <v>35</v>
      </c>
      <c r="M93" s="52">
        <v>8</v>
      </c>
      <c r="N93" s="43" t="s">
        <v>8</v>
      </c>
      <c r="O93" s="16">
        <v>4000000</v>
      </c>
      <c r="P93" s="8">
        <v>400</v>
      </c>
      <c r="Q93" s="9">
        <v>0.01</v>
      </c>
      <c r="R93" s="16">
        <f t="shared" si="13"/>
        <v>40000</v>
      </c>
      <c r="S93" s="8">
        <f t="shared" si="14"/>
        <v>4</v>
      </c>
      <c r="T93" s="19">
        <f t="shared" si="15"/>
        <v>-0.115</v>
      </c>
      <c r="U93" s="19">
        <f t="shared" si="16"/>
        <v>0.13500000000000001</v>
      </c>
      <c r="V93" s="19">
        <f t="shared" si="17"/>
        <v>7.216878364870323E-2</v>
      </c>
      <c r="W93" s="16">
        <f t="shared" si="18"/>
        <v>46154.130761603541</v>
      </c>
      <c r="X93" s="16">
        <f t="shared" si="18"/>
        <v>47612.766677155414</v>
      </c>
      <c r="Y93" s="347">
        <f t="shared" si="18"/>
        <v>49770.870640177192</v>
      </c>
      <c r="Z93" s="16"/>
      <c r="AA93" s="11"/>
    </row>
    <row r="94" spans="1:27" s="2" customFormat="1" ht="30" hidden="1" x14ac:dyDescent="0.25">
      <c r="A94" s="42" t="s">
        <v>199</v>
      </c>
      <c r="B94" s="59">
        <v>3387</v>
      </c>
      <c r="C94" s="42" t="s">
        <v>121</v>
      </c>
      <c r="D94" s="100" t="s">
        <v>200</v>
      </c>
      <c r="E94" s="100"/>
      <c r="F94" s="101" t="s">
        <v>352</v>
      </c>
      <c r="G94" s="43" t="s">
        <v>308</v>
      </c>
      <c r="H94" s="5" t="s">
        <v>36</v>
      </c>
      <c r="I94" s="5" t="s">
        <v>33</v>
      </c>
      <c r="J94" s="5" t="s">
        <v>33</v>
      </c>
      <c r="K94" s="5" t="s">
        <v>35</v>
      </c>
      <c r="L94" s="5" t="s">
        <v>35</v>
      </c>
      <c r="M94" s="52">
        <v>6</v>
      </c>
      <c r="N94" s="43" t="s">
        <v>177</v>
      </c>
      <c r="O94" s="16">
        <v>-175000</v>
      </c>
      <c r="P94" s="8"/>
      <c r="Q94" s="9">
        <v>0.1</v>
      </c>
      <c r="R94" s="16">
        <f t="shared" si="13"/>
        <v>-17500</v>
      </c>
      <c r="S94" s="8">
        <f t="shared" si="14"/>
        <v>0</v>
      </c>
      <c r="T94" s="19">
        <f t="shared" si="15"/>
        <v>-2.4999999999999994E-2</v>
      </c>
      <c r="U94" s="19">
        <f t="shared" si="16"/>
        <v>0.22500000000000001</v>
      </c>
      <c r="V94" s="19">
        <f t="shared" si="17"/>
        <v>7.216878364870323E-2</v>
      </c>
      <c r="W94" s="16">
        <f t="shared" si="18"/>
        <v>-20192.43220820155</v>
      </c>
      <c r="X94" s="16">
        <f t="shared" si="18"/>
        <v>-20830.585421255491</v>
      </c>
      <c r="Y94" s="347">
        <f t="shared" si="18"/>
        <v>-21774.75590507752</v>
      </c>
      <c r="Z94" s="16"/>
      <c r="AA94" s="11"/>
    </row>
    <row r="95" spans="1:27" s="2" customFormat="1" ht="60" x14ac:dyDescent="0.25">
      <c r="A95" s="42" t="s">
        <v>175</v>
      </c>
      <c r="B95" s="59">
        <v>3388</v>
      </c>
      <c r="C95" s="42" t="s">
        <v>121</v>
      </c>
      <c r="D95" s="94" t="s">
        <v>176</v>
      </c>
      <c r="E95" s="94"/>
      <c r="F95" s="93"/>
      <c r="G95" s="43" t="s">
        <v>341</v>
      </c>
      <c r="H95" s="5" t="s">
        <v>36</v>
      </c>
      <c r="I95" s="5" t="s">
        <v>33</v>
      </c>
      <c r="J95" s="5" t="s">
        <v>36</v>
      </c>
      <c r="K95" s="5" t="s">
        <v>35</v>
      </c>
      <c r="L95" s="5" t="s">
        <v>35</v>
      </c>
      <c r="M95" s="52">
        <v>6</v>
      </c>
      <c r="N95" s="43" t="s">
        <v>177</v>
      </c>
      <c r="O95" s="16">
        <v>-300000</v>
      </c>
      <c r="P95" s="8"/>
      <c r="Q95" s="9"/>
      <c r="R95" s="16">
        <f t="shared" si="13"/>
        <v>0</v>
      </c>
      <c r="S95" s="8">
        <f t="shared" si="14"/>
        <v>0</v>
      </c>
      <c r="T95" s="19">
        <f t="shared" si="15"/>
        <v>0</v>
      </c>
      <c r="U95" s="19">
        <f t="shared" si="16"/>
        <v>0</v>
      </c>
      <c r="V95" s="19">
        <f t="shared" si="17"/>
        <v>0</v>
      </c>
      <c r="W95" s="16">
        <f t="shared" si="18"/>
        <v>0</v>
      </c>
      <c r="X95" s="16">
        <f t="shared" si="18"/>
        <v>0</v>
      </c>
      <c r="Y95" s="347">
        <f t="shared" si="18"/>
        <v>0</v>
      </c>
      <c r="Z95" s="16"/>
      <c r="AA95" s="11"/>
    </row>
    <row r="96" spans="1:27" s="2" customFormat="1" ht="30" hidden="1" x14ac:dyDescent="0.25">
      <c r="A96" s="42" t="s">
        <v>238</v>
      </c>
      <c r="B96" s="59"/>
      <c r="C96" s="42" t="s">
        <v>61</v>
      </c>
      <c r="D96" s="43" t="s">
        <v>239</v>
      </c>
      <c r="E96" s="43"/>
      <c r="F96" s="85"/>
      <c r="G96" s="43"/>
      <c r="H96" s="5" t="s">
        <v>36</v>
      </c>
      <c r="I96" s="5" t="s">
        <v>35</v>
      </c>
      <c r="J96" s="5" t="s">
        <v>35</v>
      </c>
      <c r="K96" s="5" t="s">
        <v>36</v>
      </c>
      <c r="L96" s="5" t="s">
        <v>35</v>
      </c>
      <c r="M96" s="53">
        <v>3</v>
      </c>
      <c r="N96" s="43" t="s">
        <v>177</v>
      </c>
      <c r="O96" s="16"/>
      <c r="P96" s="8"/>
      <c r="Q96" s="9"/>
      <c r="R96" s="16">
        <f t="shared" si="13"/>
        <v>0</v>
      </c>
      <c r="S96" s="8">
        <f t="shared" si="14"/>
        <v>0</v>
      </c>
      <c r="T96" s="19">
        <f t="shared" si="15"/>
        <v>0</v>
      </c>
      <c r="U96" s="19">
        <f t="shared" si="16"/>
        <v>0</v>
      </c>
      <c r="V96" s="19">
        <f t="shared" si="17"/>
        <v>0</v>
      </c>
      <c r="W96" s="16">
        <f t="shared" si="18"/>
        <v>0</v>
      </c>
      <c r="X96" s="16">
        <f t="shared" si="18"/>
        <v>0</v>
      </c>
      <c r="Y96" s="347">
        <f t="shared" si="18"/>
        <v>0</v>
      </c>
      <c r="Z96" s="16"/>
      <c r="AA96" s="11"/>
    </row>
    <row r="97" spans="1:27" s="2" customFormat="1" ht="60" hidden="1" x14ac:dyDescent="0.25">
      <c r="A97" s="42" t="s">
        <v>242</v>
      </c>
      <c r="B97" s="59"/>
      <c r="C97" s="42" t="s">
        <v>61</v>
      </c>
      <c r="D97" s="43" t="s">
        <v>243</v>
      </c>
      <c r="E97" s="43"/>
      <c r="F97" s="85"/>
      <c r="G97" s="43"/>
      <c r="H97" s="5" t="s">
        <v>155</v>
      </c>
      <c r="I97" s="5" t="s">
        <v>35</v>
      </c>
      <c r="J97" s="5" t="s">
        <v>36</v>
      </c>
      <c r="K97" s="5" t="s">
        <v>33</v>
      </c>
      <c r="L97" s="5" t="s">
        <v>35</v>
      </c>
      <c r="M97" s="53">
        <v>2</v>
      </c>
      <c r="N97" s="43" t="s">
        <v>8</v>
      </c>
      <c r="O97" s="16"/>
      <c r="P97" s="8"/>
      <c r="Q97" s="9"/>
      <c r="R97" s="16">
        <f t="shared" si="13"/>
        <v>0</v>
      </c>
      <c r="S97" s="8">
        <f t="shared" si="14"/>
        <v>0</v>
      </c>
      <c r="T97" s="19">
        <f t="shared" si="15"/>
        <v>0</v>
      </c>
      <c r="U97" s="19">
        <f t="shared" si="16"/>
        <v>0</v>
      </c>
      <c r="V97" s="19">
        <f t="shared" si="17"/>
        <v>0</v>
      </c>
      <c r="W97" s="16">
        <f t="shared" si="18"/>
        <v>0</v>
      </c>
      <c r="X97" s="16">
        <f t="shared" si="18"/>
        <v>0</v>
      </c>
      <c r="Y97" s="347">
        <f t="shared" si="18"/>
        <v>0</v>
      </c>
      <c r="Z97" s="16"/>
      <c r="AA97" s="11"/>
    </row>
    <row r="98" spans="1:27" s="2" customFormat="1" ht="45" hidden="1" x14ac:dyDescent="0.25">
      <c r="A98" s="42" t="s">
        <v>114</v>
      </c>
      <c r="B98" s="59">
        <v>3389</v>
      </c>
      <c r="C98" s="42" t="s">
        <v>61</v>
      </c>
      <c r="D98" s="89" t="s">
        <v>115</v>
      </c>
      <c r="E98" s="89"/>
      <c r="F98" s="88">
        <v>100000</v>
      </c>
      <c r="G98" s="43" t="s">
        <v>116</v>
      </c>
      <c r="H98" s="5" t="s">
        <v>36</v>
      </c>
      <c r="I98" s="5" t="s">
        <v>35</v>
      </c>
      <c r="J98" s="5" t="s">
        <v>35</v>
      </c>
      <c r="K98" s="5" t="s">
        <v>34</v>
      </c>
      <c r="L98" s="5" t="s">
        <v>35</v>
      </c>
      <c r="M98" s="52">
        <v>12</v>
      </c>
      <c r="N98" s="43" t="s">
        <v>8</v>
      </c>
      <c r="O98" s="16">
        <v>0</v>
      </c>
      <c r="P98" s="8"/>
      <c r="Q98" s="9">
        <v>0.17</v>
      </c>
      <c r="R98" s="16">
        <f t="shared" si="13"/>
        <v>0</v>
      </c>
      <c r="S98" s="8">
        <f t="shared" si="14"/>
        <v>0</v>
      </c>
      <c r="T98" s="19">
        <f t="shared" si="15"/>
        <v>4.5000000000000012E-2</v>
      </c>
      <c r="U98" s="19">
        <f t="shared" si="16"/>
        <v>0.29500000000000004</v>
      </c>
      <c r="V98" s="19">
        <f t="shared" si="17"/>
        <v>7.216878364870323E-2</v>
      </c>
      <c r="W98" s="16">
        <f t="shared" si="18"/>
        <v>0</v>
      </c>
      <c r="X98" s="16">
        <f t="shared" si="18"/>
        <v>0</v>
      </c>
      <c r="Y98" s="347">
        <f t="shared" si="18"/>
        <v>0</v>
      </c>
      <c r="Z98" s="16"/>
      <c r="AA98" s="11"/>
    </row>
    <row r="99" spans="1:27" s="2" customFormat="1" ht="30" hidden="1" x14ac:dyDescent="0.25">
      <c r="A99" s="42" t="s">
        <v>240</v>
      </c>
      <c r="B99" s="59"/>
      <c r="C99" s="42" t="s">
        <v>61</v>
      </c>
      <c r="D99" s="43" t="s">
        <v>241</v>
      </c>
      <c r="E99" s="43"/>
      <c r="F99" s="85"/>
      <c r="G99" s="43"/>
      <c r="H99" s="5" t="s">
        <v>155</v>
      </c>
      <c r="I99" s="5" t="s">
        <v>35</v>
      </c>
      <c r="J99" s="5" t="s">
        <v>35</v>
      </c>
      <c r="K99" s="5" t="s">
        <v>33</v>
      </c>
      <c r="L99" s="5" t="s">
        <v>35</v>
      </c>
      <c r="M99" s="53">
        <v>2</v>
      </c>
      <c r="N99" s="43" t="s">
        <v>177</v>
      </c>
      <c r="O99" s="16"/>
      <c r="P99" s="8"/>
      <c r="Q99" s="9"/>
      <c r="R99" s="16">
        <f t="shared" si="13"/>
        <v>0</v>
      </c>
      <c r="S99" s="8">
        <f t="shared" si="14"/>
        <v>0</v>
      </c>
      <c r="T99" s="19">
        <f t="shared" si="15"/>
        <v>0</v>
      </c>
      <c r="U99" s="19">
        <f t="shared" si="16"/>
        <v>0</v>
      </c>
      <c r="V99" s="19">
        <f t="shared" si="17"/>
        <v>0</v>
      </c>
      <c r="W99" s="16">
        <f t="shared" ref="W99:Y120" si="19">W$121*$R99/$R$121  *  IF($T$1="Y", 1, IF($O99&lt;0,0,1))</f>
        <v>0</v>
      </c>
      <c r="X99" s="16">
        <f t="shared" si="19"/>
        <v>0</v>
      </c>
      <c r="Y99" s="347">
        <f t="shared" si="19"/>
        <v>0</v>
      </c>
      <c r="Z99" s="16"/>
      <c r="AA99" s="11"/>
    </row>
    <row r="100" spans="1:27" s="2" customFormat="1" ht="30" hidden="1" x14ac:dyDescent="0.25">
      <c r="A100" s="42" t="s">
        <v>118</v>
      </c>
      <c r="B100" s="59">
        <v>3390</v>
      </c>
      <c r="C100" s="42" t="s">
        <v>61</v>
      </c>
      <c r="D100" s="89" t="s">
        <v>119</v>
      </c>
      <c r="E100" s="89"/>
      <c r="F100" s="88">
        <v>5000</v>
      </c>
      <c r="G100" s="43" t="s">
        <v>116</v>
      </c>
      <c r="H100" s="5" t="s">
        <v>36</v>
      </c>
      <c r="I100" s="5" t="s">
        <v>35</v>
      </c>
      <c r="J100" s="5" t="s">
        <v>35</v>
      </c>
      <c r="K100" s="5" t="s">
        <v>34</v>
      </c>
      <c r="L100" s="5" t="s">
        <v>35</v>
      </c>
      <c r="M100" s="52">
        <v>12</v>
      </c>
      <c r="N100" s="43" t="s">
        <v>8</v>
      </c>
      <c r="O100" s="16">
        <v>0</v>
      </c>
      <c r="P100" s="8"/>
      <c r="Q100" s="9">
        <v>0.17</v>
      </c>
      <c r="R100" s="16">
        <f t="shared" si="13"/>
        <v>0</v>
      </c>
      <c r="S100" s="8">
        <f t="shared" si="14"/>
        <v>0</v>
      </c>
      <c r="T100" s="19">
        <f t="shared" si="15"/>
        <v>4.5000000000000012E-2</v>
      </c>
      <c r="U100" s="19">
        <f t="shared" si="16"/>
        <v>0.29500000000000004</v>
      </c>
      <c r="V100" s="19">
        <f t="shared" si="17"/>
        <v>7.216878364870323E-2</v>
      </c>
      <c r="W100" s="16">
        <f t="shared" si="19"/>
        <v>0</v>
      </c>
      <c r="X100" s="16">
        <f t="shared" si="19"/>
        <v>0</v>
      </c>
      <c r="Y100" s="347">
        <f t="shared" si="19"/>
        <v>0</v>
      </c>
      <c r="Z100" s="16"/>
      <c r="AA100" s="11"/>
    </row>
    <row r="101" spans="1:27" s="2" customFormat="1" ht="30" hidden="1" x14ac:dyDescent="0.25">
      <c r="A101" s="42" t="s">
        <v>261</v>
      </c>
      <c r="B101" s="59"/>
      <c r="C101" s="42" t="s">
        <v>61</v>
      </c>
      <c r="D101" s="44" t="s">
        <v>262</v>
      </c>
      <c r="E101" s="44"/>
      <c r="F101" s="86"/>
      <c r="G101" s="43" t="s">
        <v>253</v>
      </c>
      <c r="H101" s="5" t="s">
        <v>35</v>
      </c>
      <c r="I101" s="5" t="s">
        <v>35</v>
      </c>
      <c r="J101" s="5" t="s">
        <v>35</v>
      </c>
      <c r="K101" s="5" t="s">
        <v>33</v>
      </c>
      <c r="L101" s="5" t="s">
        <v>35</v>
      </c>
      <c r="M101" s="5">
        <v>0</v>
      </c>
      <c r="N101" s="43" t="s">
        <v>8</v>
      </c>
      <c r="O101" s="16"/>
      <c r="P101" s="8"/>
      <c r="Q101" s="9"/>
      <c r="R101" s="16">
        <f t="shared" si="13"/>
        <v>0</v>
      </c>
      <c r="S101" s="8">
        <f t="shared" si="14"/>
        <v>0</v>
      </c>
      <c r="T101" s="19">
        <f t="shared" si="15"/>
        <v>0</v>
      </c>
      <c r="U101" s="19">
        <f t="shared" si="16"/>
        <v>0</v>
      </c>
      <c r="V101" s="19">
        <f t="shared" si="17"/>
        <v>0</v>
      </c>
      <c r="W101" s="16">
        <f t="shared" si="19"/>
        <v>0</v>
      </c>
      <c r="X101" s="16">
        <f t="shared" si="19"/>
        <v>0</v>
      </c>
      <c r="Y101" s="347">
        <f t="shared" si="19"/>
        <v>0</v>
      </c>
      <c r="Z101" s="16"/>
      <c r="AA101" s="11"/>
    </row>
    <row r="102" spans="1:27" s="2" customFormat="1" ht="45" hidden="1" x14ac:dyDescent="0.25">
      <c r="A102" s="42" t="s">
        <v>168</v>
      </c>
      <c r="B102" s="59">
        <v>3391</v>
      </c>
      <c r="C102" s="42" t="s">
        <v>61</v>
      </c>
      <c r="D102" s="89" t="s">
        <v>169</v>
      </c>
      <c r="E102" s="89"/>
      <c r="F102" s="88">
        <v>5000</v>
      </c>
      <c r="G102" s="43" t="s">
        <v>116</v>
      </c>
      <c r="H102" s="5" t="s">
        <v>155</v>
      </c>
      <c r="I102" s="5" t="s">
        <v>35</v>
      </c>
      <c r="J102" s="5" t="s">
        <v>35</v>
      </c>
      <c r="K102" s="5" t="s">
        <v>36</v>
      </c>
      <c r="L102" s="5" t="s">
        <v>35</v>
      </c>
      <c r="M102" s="52">
        <v>6</v>
      </c>
      <c r="N102" s="43" t="s">
        <v>8</v>
      </c>
      <c r="O102" s="16">
        <v>0</v>
      </c>
      <c r="P102" s="8"/>
      <c r="Q102" s="9">
        <v>0.83</v>
      </c>
      <c r="R102" s="16">
        <f t="shared" si="13"/>
        <v>0</v>
      </c>
      <c r="S102" s="8">
        <f t="shared" si="14"/>
        <v>0</v>
      </c>
      <c r="T102" s="19">
        <f t="shared" si="15"/>
        <v>0.70499999999999996</v>
      </c>
      <c r="U102" s="19">
        <f t="shared" si="16"/>
        <v>0.95499999999999996</v>
      </c>
      <c r="V102" s="19">
        <f t="shared" si="17"/>
        <v>7.216878364870323E-2</v>
      </c>
      <c r="W102" s="16">
        <f t="shared" si="19"/>
        <v>0</v>
      </c>
      <c r="X102" s="16">
        <f t="shared" si="19"/>
        <v>0</v>
      </c>
      <c r="Y102" s="347">
        <f t="shared" si="19"/>
        <v>0</v>
      </c>
      <c r="Z102" s="16"/>
      <c r="AA102" s="11"/>
    </row>
    <row r="103" spans="1:27" s="2" customFormat="1" ht="30" hidden="1" x14ac:dyDescent="0.25">
      <c r="A103" s="42" t="s">
        <v>158</v>
      </c>
      <c r="B103" s="59"/>
      <c r="C103" s="42" t="s">
        <v>61</v>
      </c>
      <c r="D103" s="44" t="s">
        <v>159</v>
      </c>
      <c r="E103" s="44"/>
      <c r="F103" s="86"/>
      <c r="G103" s="43" t="s">
        <v>253</v>
      </c>
      <c r="H103" s="5" t="s">
        <v>36</v>
      </c>
      <c r="I103" s="5" t="s">
        <v>35</v>
      </c>
      <c r="J103" s="5" t="s">
        <v>35</v>
      </c>
      <c r="K103" s="5" t="s">
        <v>35</v>
      </c>
      <c r="L103" s="5" t="s">
        <v>35</v>
      </c>
      <c r="M103" s="5">
        <v>0</v>
      </c>
      <c r="N103" s="43" t="s">
        <v>8</v>
      </c>
      <c r="O103" s="16"/>
      <c r="P103" s="8"/>
      <c r="Q103" s="9"/>
      <c r="R103" s="16">
        <f t="shared" ref="R103:R120" si="20">O103*Q103</f>
        <v>0</v>
      </c>
      <c r="S103" s="8">
        <f t="shared" ref="S103:S120" si="21">P103*Q103</f>
        <v>0</v>
      </c>
      <c r="T103" s="19">
        <f t="shared" ref="T103:T120" si="22">IF($Q103=0,0, IF($Q103 = 100%, 100%,$Q103-12.5%))* IF($T$1="Y", 1, IF($O103&lt;0,0,1))</f>
        <v>0</v>
      </c>
      <c r="U103" s="19">
        <f t="shared" ref="U103:U120" si="23">IF($Q103=0,0, IF($Q103 = 100%, 100%,$Q103+12.5%))* IF($T$1="Y", 1, IF($O103&lt;0,0,1))</f>
        <v>0</v>
      </c>
      <c r="V103" s="19">
        <f t="shared" ref="V103:V120" si="24">(U103-T103)/SQRT(12)</f>
        <v>0</v>
      </c>
      <c r="W103" s="16">
        <f t="shared" si="19"/>
        <v>0</v>
      </c>
      <c r="X103" s="16">
        <f t="shared" si="19"/>
        <v>0</v>
      </c>
      <c r="Y103" s="347">
        <f t="shared" si="19"/>
        <v>0</v>
      </c>
      <c r="Z103" s="16"/>
      <c r="AA103" s="11"/>
    </row>
    <row r="104" spans="1:27" s="2" customFormat="1" ht="30" hidden="1" x14ac:dyDescent="0.25">
      <c r="A104" s="42" t="s">
        <v>6</v>
      </c>
      <c r="B104" s="59">
        <v>3392</v>
      </c>
      <c r="C104" s="42" t="s">
        <v>61</v>
      </c>
      <c r="D104" s="43" t="s">
        <v>7</v>
      </c>
      <c r="E104" s="43"/>
      <c r="F104" s="85">
        <v>5000</v>
      </c>
      <c r="G104" s="43"/>
      <c r="H104" s="55" t="s">
        <v>36</v>
      </c>
      <c r="I104" s="5" t="s">
        <v>35</v>
      </c>
      <c r="J104" s="5" t="s">
        <v>34</v>
      </c>
      <c r="K104" s="5" t="s">
        <v>34</v>
      </c>
      <c r="L104" s="5" t="s">
        <v>35</v>
      </c>
      <c r="M104" s="51">
        <v>24</v>
      </c>
      <c r="N104" s="43" t="s">
        <v>8</v>
      </c>
      <c r="O104" s="16">
        <v>390000</v>
      </c>
      <c r="P104" s="8">
        <v>100</v>
      </c>
      <c r="Q104" s="9">
        <v>0.1</v>
      </c>
      <c r="R104" s="16">
        <f t="shared" si="20"/>
        <v>39000</v>
      </c>
      <c r="S104" s="8">
        <f t="shared" si="21"/>
        <v>10</v>
      </c>
      <c r="T104" s="19">
        <f t="shared" si="22"/>
        <v>-2.4999999999999994E-2</v>
      </c>
      <c r="U104" s="19">
        <f t="shared" si="23"/>
        <v>0.22500000000000001</v>
      </c>
      <c r="V104" s="19">
        <f t="shared" si="24"/>
        <v>7.216878364870323E-2</v>
      </c>
      <c r="W104" s="16">
        <f t="shared" si="19"/>
        <v>45000.277492563444</v>
      </c>
      <c r="X104" s="16">
        <f t="shared" si="19"/>
        <v>46422.447510226521</v>
      </c>
      <c r="Y104" s="347">
        <f t="shared" si="19"/>
        <v>48526.598874172763</v>
      </c>
      <c r="Z104" s="16"/>
      <c r="AA104" s="11"/>
    </row>
    <row r="105" spans="1:27" s="2" customFormat="1" ht="30" hidden="1" x14ac:dyDescent="0.25">
      <c r="A105" s="42" t="s">
        <v>3</v>
      </c>
      <c r="B105" s="59">
        <v>3393</v>
      </c>
      <c r="C105" s="42" t="s">
        <v>61</v>
      </c>
      <c r="D105" s="43" t="s">
        <v>4</v>
      </c>
      <c r="E105" s="43" t="s">
        <v>340</v>
      </c>
      <c r="F105" s="85"/>
      <c r="G105" s="43"/>
      <c r="H105" s="5" t="s">
        <v>33</v>
      </c>
      <c r="I105" s="5" t="s">
        <v>35</v>
      </c>
      <c r="J105" s="5" t="s">
        <v>33</v>
      </c>
      <c r="K105" s="5" t="s">
        <v>35</v>
      </c>
      <c r="L105" s="5" t="s">
        <v>35</v>
      </c>
      <c r="M105" s="52">
        <v>14</v>
      </c>
      <c r="N105" s="43" t="s">
        <v>5</v>
      </c>
      <c r="O105" s="16">
        <v>500000</v>
      </c>
      <c r="P105" s="8"/>
      <c r="Q105" s="9">
        <v>0.5</v>
      </c>
      <c r="R105" s="16">
        <f t="shared" si="20"/>
        <v>250000</v>
      </c>
      <c r="S105" s="8">
        <f t="shared" si="21"/>
        <v>0</v>
      </c>
      <c r="T105" s="19">
        <f t="shared" si="22"/>
        <v>0.375</v>
      </c>
      <c r="U105" s="19">
        <f t="shared" si="23"/>
        <v>0.625</v>
      </c>
      <c r="V105" s="19">
        <f t="shared" si="24"/>
        <v>7.216878364870323E-2</v>
      </c>
      <c r="W105" s="16">
        <f t="shared" si="19"/>
        <v>288463.3172600221</v>
      </c>
      <c r="X105" s="16">
        <f t="shared" si="19"/>
        <v>297579.79173222132</v>
      </c>
      <c r="Y105" s="347">
        <f t="shared" si="19"/>
        <v>311067.94150110742</v>
      </c>
      <c r="Z105" s="16"/>
      <c r="AA105" s="11"/>
    </row>
    <row r="106" spans="1:27" s="2" customFormat="1" ht="30" hidden="1" x14ac:dyDescent="0.25">
      <c r="A106" s="42" t="s">
        <v>191</v>
      </c>
      <c r="B106" s="59">
        <v>3394</v>
      </c>
      <c r="C106" s="42" t="s">
        <v>61</v>
      </c>
      <c r="D106" s="43" t="s">
        <v>192</v>
      </c>
      <c r="E106" s="43" t="s">
        <v>340</v>
      </c>
      <c r="F106" s="85"/>
      <c r="G106" s="43"/>
      <c r="H106" s="5" t="s">
        <v>36</v>
      </c>
      <c r="I106" s="5" t="s">
        <v>35</v>
      </c>
      <c r="J106" s="5" t="s">
        <v>36</v>
      </c>
      <c r="K106" s="5" t="s">
        <v>35</v>
      </c>
      <c r="L106" s="5" t="s">
        <v>35</v>
      </c>
      <c r="M106" s="52">
        <v>6</v>
      </c>
      <c r="N106" s="43" t="s">
        <v>5</v>
      </c>
      <c r="O106" s="16">
        <v>75000</v>
      </c>
      <c r="P106" s="8"/>
      <c r="Q106" s="9">
        <v>0.2</v>
      </c>
      <c r="R106" s="16">
        <f t="shared" si="20"/>
        <v>15000</v>
      </c>
      <c r="S106" s="8">
        <f t="shared" si="21"/>
        <v>0</v>
      </c>
      <c r="T106" s="19">
        <f t="shared" si="22"/>
        <v>7.5000000000000011E-2</v>
      </c>
      <c r="U106" s="19">
        <f t="shared" si="23"/>
        <v>0.32500000000000001</v>
      </c>
      <c r="V106" s="19">
        <f t="shared" si="24"/>
        <v>7.216878364870323E-2</v>
      </c>
      <c r="W106" s="16">
        <f t="shared" si="19"/>
        <v>17307.799035601325</v>
      </c>
      <c r="X106" s="16">
        <f t="shared" si="19"/>
        <v>17854.787503933279</v>
      </c>
      <c r="Y106" s="347">
        <f t="shared" si="19"/>
        <v>18664.076490066447</v>
      </c>
      <c r="Z106" s="16"/>
      <c r="AA106" s="11"/>
    </row>
    <row r="107" spans="1:27" s="2" customFormat="1" ht="30" hidden="1" x14ac:dyDescent="0.25">
      <c r="A107" s="42" t="s">
        <v>197</v>
      </c>
      <c r="B107" s="59">
        <v>3395</v>
      </c>
      <c r="C107" s="42" t="s">
        <v>61</v>
      </c>
      <c r="D107" s="43" t="s">
        <v>198</v>
      </c>
      <c r="E107" s="43" t="s">
        <v>340</v>
      </c>
      <c r="F107" s="85"/>
      <c r="G107" s="43"/>
      <c r="H107" s="5" t="s">
        <v>36</v>
      </c>
      <c r="I107" s="5" t="s">
        <v>35</v>
      </c>
      <c r="J107" s="5" t="s">
        <v>33</v>
      </c>
      <c r="K107" s="5" t="s">
        <v>33</v>
      </c>
      <c r="L107" s="5" t="s">
        <v>35</v>
      </c>
      <c r="M107" s="52">
        <v>6</v>
      </c>
      <c r="N107" s="43" t="s">
        <v>5</v>
      </c>
      <c r="O107" s="16">
        <v>130000</v>
      </c>
      <c r="P107" s="8"/>
      <c r="Q107" s="9">
        <v>0.1</v>
      </c>
      <c r="R107" s="16">
        <f t="shared" si="20"/>
        <v>13000</v>
      </c>
      <c r="S107" s="8">
        <f t="shared" si="21"/>
        <v>0</v>
      </c>
      <c r="T107" s="19">
        <f t="shared" si="22"/>
        <v>-2.4999999999999994E-2</v>
      </c>
      <c r="U107" s="19">
        <f t="shared" si="23"/>
        <v>0.22500000000000001</v>
      </c>
      <c r="V107" s="19">
        <f t="shared" si="24"/>
        <v>7.216878364870323E-2</v>
      </c>
      <c r="W107" s="16">
        <f t="shared" si="19"/>
        <v>15000.092497521149</v>
      </c>
      <c r="X107" s="16">
        <f t="shared" si="19"/>
        <v>15474.149170075507</v>
      </c>
      <c r="Y107" s="347">
        <f t="shared" si="19"/>
        <v>16175.532958057587</v>
      </c>
      <c r="Z107" s="16"/>
      <c r="AA107" s="11"/>
    </row>
    <row r="108" spans="1:27" s="2" customFormat="1" hidden="1" x14ac:dyDescent="0.25">
      <c r="A108" s="42" t="s">
        <v>193</v>
      </c>
      <c r="B108" s="59">
        <v>3396</v>
      </c>
      <c r="C108" s="42" t="s">
        <v>121</v>
      </c>
      <c r="D108" s="43" t="s">
        <v>194</v>
      </c>
      <c r="E108" s="43" t="s">
        <v>340</v>
      </c>
      <c r="F108" s="85"/>
      <c r="G108" s="43"/>
      <c r="H108" s="5" t="s">
        <v>34</v>
      </c>
      <c r="I108" s="5" t="s">
        <v>35</v>
      </c>
      <c r="J108" s="5" t="s">
        <v>36</v>
      </c>
      <c r="K108" s="5" t="s">
        <v>35</v>
      </c>
      <c r="L108" s="5" t="s">
        <v>35</v>
      </c>
      <c r="M108" s="52">
        <v>6</v>
      </c>
      <c r="N108" s="43" t="s">
        <v>5</v>
      </c>
      <c r="O108" s="16">
        <v>-30000</v>
      </c>
      <c r="P108" s="8"/>
      <c r="Q108" s="9">
        <v>0.5</v>
      </c>
      <c r="R108" s="16">
        <f t="shared" si="20"/>
        <v>-15000</v>
      </c>
      <c r="S108" s="8">
        <f t="shared" si="21"/>
        <v>0</v>
      </c>
      <c r="T108" s="19">
        <f t="shared" si="22"/>
        <v>0.375</v>
      </c>
      <c r="U108" s="19">
        <f t="shared" si="23"/>
        <v>0.625</v>
      </c>
      <c r="V108" s="19">
        <f t="shared" si="24"/>
        <v>7.216878364870323E-2</v>
      </c>
      <c r="W108" s="16">
        <f t="shared" si="19"/>
        <v>-17307.799035601325</v>
      </c>
      <c r="X108" s="16">
        <f t="shared" si="19"/>
        <v>-17854.787503933279</v>
      </c>
      <c r="Y108" s="347">
        <f t="shared" si="19"/>
        <v>-18664.076490066447</v>
      </c>
      <c r="Z108" s="16"/>
      <c r="AA108" s="11"/>
    </row>
    <row r="109" spans="1:27" s="2" customFormat="1" ht="30" hidden="1" x14ac:dyDescent="0.25">
      <c r="A109" s="42" t="s">
        <v>25</v>
      </c>
      <c r="B109" s="59">
        <v>3397</v>
      </c>
      <c r="C109" s="42" t="s">
        <v>121</v>
      </c>
      <c r="D109" s="43" t="s">
        <v>161</v>
      </c>
      <c r="E109" s="43" t="s">
        <v>340</v>
      </c>
      <c r="F109" s="85"/>
      <c r="G109" s="43"/>
      <c r="H109" s="5" t="s">
        <v>33</v>
      </c>
      <c r="I109" s="5" t="s">
        <v>35</v>
      </c>
      <c r="J109" s="5" t="s">
        <v>36</v>
      </c>
      <c r="K109" s="5" t="s">
        <v>35</v>
      </c>
      <c r="L109" s="5" t="s">
        <v>35</v>
      </c>
      <c r="M109" s="52">
        <v>6</v>
      </c>
      <c r="N109" s="43" t="s">
        <v>5</v>
      </c>
      <c r="O109" s="16">
        <v>-20000</v>
      </c>
      <c r="P109" s="8"/>
      <c r="Q109" s="9">
        <v>0.25</v>
      </c>
      <c r="R109" s="16">
        <f t="shared" si="20"/>
        <v>-5000</v>
      </c>
      <c r="S109" s="8">
        <f t="shared" si="21"/>
        <v>0</v>
      </c>
      <c r="T109" s="19">
        <f t="shared" si="22"/>
        <v>0.125</v>
      </c>
      <c r="U109" s="19">
        <f t="shared" si="23"/>
        <v>0.375</v>
      </c>
      <c r="V109" s="19">
        <f t="shared" si="24"/>
        <v>7.216878364870323E-2</v>
      </c>
      <c r="W109" s="16">
        <f t="shared" si="19"/>
        <v>-5769.2663452004426</v>
      </c>
      <c r="X109" s="16">
        <f t="shared" si="19"/>
        <v>-5951.5958346444268</v>
      </c>
      <c r="Y109" s="347">
        <f t="shared" si="19"/>
        <v>-6221.358830022149</v>
      </c>
      <c r="Z109" s="16"/>
      <c r="AA109" s="11"/>
    </row>
    <row r="110" spans="1:27" s="2" customFormat="1" ht="45" hidden="1" x14ac:dyDescent="0.25">
      <c r="A110" s="42" t="s">
        <v>232</v>
      </c>
      <c r="B110" s="59">
        <v>3398</v>
      </c>
      <c r="C110" s="42" t="s">
        <v>121</v>
      </c>
      <c r="D110" s="43" t="s">
        <v>233</v>
      </c>
      <c r="E110" s="43" t="s">
        <v>340</v>
      </c>
      <c r="F110" s="85"/>
      <c r="G110" s="43"/>
      <c r="H110" s="5" t="s">
        <v>36</v>
      </c>
      <c r="I110" s="5" t="s">
        <v>35</v>
      </c>
      <c r="J110" s="5" t="s">
        <v>36</v>
      </c>
      <c r="K110" s="5" t="s">
        <v>35</v>
      </c>
      <c r="L110" s="5" t="s">
        <v>35</v>
      </c>
      <c r="M110" s="53">
        <v>3</v>
      </c>
      <c r="N110" s="43" t="s">
        <v>5</v>
      </c>
      <c r="O110" s="16">
        <v>-40000</v>
      </c>
      <c r="P110" s="8"/>
      <c r="Q110" s="9">
        <v>0.1</v>
      </c>
      <c r="R110" s="16">
        <f t="shared" si="20"/>
        <v>-4000</v>
      </c>
      <c r="S110" s="8">
        <f t="shared" si="21"/>
        <v>0</v>
      </c>
      <c r="T110" s="19">
        <f t="shared" si="22"/>
        <v>-2.4999999999999994E-2</v>
      </c>
      <c r="U110" s="19">
        <f t="shared" si="23"/>
        <v>0.22500000000000001</v>
      </c>
      <c r="V110" s="19">
        <f t="shared" si="24"/>
        <v>7.216878364870323E-2</v>
      </c>
      <c r="W110" s="16">
        <f t="shared" si="19"/>
        <v>-4615.4130761603537</v>
      </c>
      <c r="X110" s="16">
        <f t="shared" si="19"/>
        <v>-4761.2766677155414</v>
      </c>
      <c r="Y110" s="347">
        <f t="shared" si="19"/>
        <v>-4977.0870640177191</v>
      </c>
      <c r="Z110" s="16"/>
      <c r="AA110" s="11"/>
    </row>
    <row r="111" spans="1:27" s="2" customFormat="1" ht="45" hidden="1" x14ac:dyDescent="0.25">
      <c r="A111" s="42" t="s">
        <v>184</v>
      </c>
      <c r="B111" s="59">
        <v>3399</v>
      </c>
      <c r="C111" s="42" t="s">
        <v>121</v>
      </c>
      <c r="D111" s="43" t="s">
        <v>185</v>
      </c>
      <c r="E111" s="43" t="s">
        <v>340</v>
      </c>
      <c r="F111" s="85"/>
      <c r="G111" s="43"/>
      <c r="H111" s="5" t="s">
        <v>36</v>
      </c>
      <c r="I111" s="5" t="s">
        <v>35</v>
      </c>
      <c r="J111" s="5" t="s">
        <v>33</v>
      </c>
      <c r="K111" s="5" t="s">
        <v>35</v>
      </c>
      <c r="L111" s="5" t="s">
        <v>35</v>
      </c>
      <c r="M111" s="52">
        <v>6</v>
      </c>
      <c r="N111" s="43" t="s">
        <v>5</v>
      </c>
      <c r="O111" s="16">
        <v>-40000</v>
      </c>
      <c r="P111" s="8"/>
      <c r="Q111" s="9">
        <v>0.1</v>
      </c>
      <c r="R111" s="48">
        <f t="shared" si="20"/>
        <v>-4000</v>
      </c>
      <c r="S111" s="8">
        <f t="shared" si="21"/>
        <v>0</v>
      </c>
      <c r="T111" s="19">
        <f t="shared" si="22"/>
        <v>-2.4999999999999994E-2</v>
      </c>
      <c r="U111" s="19">
        <f t="shared" si="23"/>
        <v>0.22500000000000001</v>
      </c>
      <c r="V111" s="19">
        <f t="shared" si="24"/>
        <v>7.216878364870323E-2</v>
      </c>
      <c r="W111" s="16">
        <f t="shared" si="19"/>
        <v>-4615.4130761603537</v>
      </c>
      <c r="X111" s="16">
        <f t="shared" si="19"/>
        <v>-4761.2766677155414</v>
      </c>
      <c r="Y111" s="347">
        <f t="shared" si="19"/>
        <v>-4977.0870640177191</v>
      </c>
      <c r="Z111" s="16"/>
      <c r="AA111" s="11"/>
    </row>
    <row r="112" spans="1:27" s="2" customFormat="1" ht="13.5" hidden="1" customHeight="1" x14ac:dyDescent="0.25">
      <c r="A112" s="42" t="s">
        <v>75</v>
      </c>
      <c r="B112" s="59">
        <v>3400</v>
      </c>
      <c r="C112" s="42" t="s">
        <v>61</v>
      </c>
      <c r="D112" s="54" t="s">
        <v>303</v>
      </c>
      <c r="E112" s="54" t="s">
        <v>349</v>
      </c>
      <c r="F112" s="87">
        <v>2000000</v>
      </c>
      <c r="G112" s="54"/>
      <c r="H112" s="55" t="s">
        <v>36</v>
      </c>
      <c r="I112" s="5" t="s">
        <v>35</v>
      </c>
      <c r="J112" s="5" t="s">
        <v>34</v>
      </c>
      <c r="K112" s="5" t="s">
        <v>34</v>
      </c>
      <c r="L112" s="5" t="s">
        <v>35</v>
      </c>
      <c r="M112" s="51">
        <v>24</v>
      </c>
      <c r="N112" s="43" t="s">
        <v>76</v>
      </c>
      <c r="O112" s="71">
        <v>0</v>
      </c>
      <c r="P112" s="72">
        <v>0</v>
      </c>
      <c r="Q112" s="74">
        <v>0.1</v>
      </c>
      <c r="R112" s="16">
        <f t="shared" si="20"/>
        <v>0</v>
      </c>
      <c r="S112" s="8">
        <f t="shared" si="21"/>
        <v>0</v>
      </c>
      <c r="T112" s="19">
        <f t="shared" si="22"/>
        <v>-2.4999999999999994E-2</v>
      </c>
      <c r="U112" s="19">
        <f t="shared" si="23"/>
        <v>0.22500000000000001</v>
      </c>
      <c r="V112" s="19">
        <f t="shared" si="24"/>
        <v>7.216878364870323E-2</v>
      </c>
      <c r="W112" s="16">
        <f t="shared" si="19"/>
        <v>0</v>
      </c>
      <c r="X112" s="16">
        <f t="shared" si="19"/>
        <v>0</v>
      </c>
      <c r="Y112" s="347">
        <f t="shared" si="19"/>
        <v>0</v>
      </c>
      <c r="Z112" s="16"/>
      <c r="AA112" s="11"/>
    </row>
    <row r="113" spans="1:27" s="2" customFormat="1" ht="45" hidden="1" x14ac:dyDescent="0.25">
      <c r="A113" s="42" t="s">
        <v>277</v>
      </c>
      <c r="B113" s="59"/>
      <c r="C113" s="42" t="s">
        <v>61</v>
      </c>
      <c r="D113" s="44" t="s">
        <v>278</v>
      </c>
      <c r="E113" s="44"/>
      <c r="F113" s="86"/>
      <c r="G113" s="43" t="s">
        <v>253</v>
      </c>
      <c r="H113" s="5" t="s">
        <v>36</v>
      </c>
      <c r="I113" s="5" t="s">
        <v>35</v>
      </c>
      <c r="J113" s="5" t="s">
        <v>33</v>
      </c>
      <c r="K113" s="5" t="s">
        <v>35</v>
      </c>
      <c r="L113" s="5" t="s">
        <v>35</v>
      </c>
      <c r="M113" s="5">
        <v>0</v>
      </c>
      <c r="N113" s="43" t="s">
        <v>76</v>
      </c>
      <c r="O113" s="16"/>
      <c r="P113" s="8"/>
      <c r="Q113" s="9"/>
      <c r="R113" s="16">
        <f t="shared" si="20"/>
        <v>0</v>
      </c>
      <c r="S113" s="8">
        <f t="shared" si="21"/>
        <v>0</v>
      </c>
      <c r="T113" s="19">
        <f t="shared" si="22"/>
        <v>0</v>
      </c>
      <c r="U113" s="19">
        <f t="shared" si="23"/>
        <v>0</v>
      </c>
      <c r="V113" s="19">
        <f t="shared" si="24"/>
        <v>0</v>
      </c>
      <c r="W113" s="16">
        <f t="shared" si="19"/>
        <v>0</v>
      </c>
      <c r="X113" s="16">
        <f t="shared" si="19"/>
        <v>0</v>
      </c>
      <c r="Y113" s="347">
        <f t="shared" si="19"/>
        <v>0</v>
      </c>
      <c r="Z113" s="16"/>
      <c r="AA113" s="11"/>
    </row>
    <row r="114" spans="1:27" s="2" customFormat="1" ht="130.5" hidden="1" customHeight="1" x14ac:dyDescent="0.25">
      <c r="A114" s="42" t="s">
        <v>234</v>
      </c>
      <c r="B114" s="59"/>
      <c r="C114" s="42" t="s">
        <v>61</v>
      </c>
      <c r="D114" s="43" t="s">
        <v>235</v>
      </c>
      <c r="E114" s="43"/>
      <c r="F114" s="85"/>
      <c r="G114" s="43"/>
      <c r="H114" s="5" t="s">
        <v>36</v>
      </c>
      <c r="I114" s="5" t="s">
        <v>35</v>
      </c>
      <c r="J114" s="5" t="s">
        <v>36</v>
      </c>
      <c r="K114" s="5" t="s">
        <v>35</v>
      </c>
      <c r="L114" s="5" t="s">
        <v>35</v>
      </c>
      <c r="M114" s="53">
        <v>3</v>
      </c>
      <c r="N114" s="43" t="s">
        <v>76</v>
      </c>
      <c r="O114" s="16"/>
      <c r="P114" s="8"/>
      <c r="Q114" s="9"/>
      <c r="R114" s="16">
        <f t="shared" si="20"/>
        <v>0</v>
      </c>
      <c r="S114" s="8">
        <f t="shared" si="21"/>
        <v>0</v>
      </c>
      <c r="T114" s="19">
        <f t="shared" si="22"/>
        <v>0</v>
      </c>
      <c r="U114" s="19">
        <f t="shared" si="23"/>
        <v>0</v>
      </c>
      <c r="V114" s="19">
        <f t="shared" si="24"/>
        <v>0</v>
      </c>
      <c r="W114" s="16">
        <f t="shared" si="19"/>
        <v>0</v>
      </c>
      <c r="X114" s="16">
        <f t="shared" si="19"/>
        <v>0</v>
      </c>
      <c r="Y114" s="347">
        <f t="shared" si="19"/>
        <v>0</v>
      </c>
      <c r="Z114" s="16"/>
      <c r="AA114" s="11"/>
    </row>
    <row r="115" spans="1:27" s="2" customFormat="1" ht="60" hidden="1" x14ac:dyDescent="0.25">
      <c r="A115" s="42" t="s">
        <v>110</v>
      </c>
      <c r="B115" s="59">
        <v>3401</v>
      </c>
      <c r="C115" s="42" t="s">
        <v>61</v>
      </c>
      <c r="D115" s="97" t="s">
        <v>304</v>
      </c>
      <c r="E115" s="86"/>
      <c r="F115" s="86"/>
      <c r="G115" s="43" t="s">
        <v>253</v>
      </c>
      <c r="H115" s="5" t="s">
        <v>36</v>
      </c>
      <c r="I115" s="5" t="s">
        <v>35</v>
      </c>
      <c r="J115" s="5" t="s">
        <v>33</v>
      </c>
      <c r="K115" s="5" t="s">
        <v>34</v>
      </c>
      <c r="L115" s="5" t="s">
        <v>35</v>
      </c>
      <c r="M115" s="52">
        <v>12</v>
      </c>
      <c r="N115" s="43" t="s">
        <v>76</v>
      </c>
      <c r="O115" s="71">
        <v>0</v>
      </c>
      <c r="P115" s="72">
        <v>0</v>
      </c>
      <c r="Q115" s="9">
        <v>0</v>
      </c>
      <c r="R115" s="16">
        <f t="shared" si="20"/>
        <v>0</v>
      </c>
      <c r="S115" s="8">
        <f t="shared" si="21"/>
        <v>0</v>
      </c>
      <c r="T115" s="19">
        <f t="shared" si="22"/>
        <v>0</v>
      </c>
      <c r="U115" s="19">
        <f t="shared" si="23"/>
        <v>0</v>
      </c>
      <c r="V115" s="19">
        <f t="shared" si="24"/>
        <v>0</v>
      </c>
      <c r="W115" s="16">
        <f t="shared" si="19"/>
        <v>0</v>
      </c>
      <c r="X115" s="16">
        <f t="shared" si="19"/>
        <v>0</v>
      </c>
      <c r="Y115" s="347">
        <f t="shared" si="19"/>
        <v>0</v>
      </c>
      <c r="Z115" s="16"/>
      <c r="AA115" s="11"/>
    </row>
    <row r="116" spans="1:27" s="2" customFormat="1" ht="45" hidden="1" x14ac:dyDescent="0.25">
      <c r="A116" s="42" t="s">
        <v>105</v>
      </c>
      <c r="B116" s="59"/>
      <c r="C116" s="42" t="s">
        <v>61</v>
      </c>
      <c r="D116" s="43" t="s">
        <v>217</v>
      </c>
      <c r="E116" s="43"/>
      <c r="F116" s="85"/>
      <c r="G116" s="43"/>
      <c r="H116" s="5" t="s">
        <v>36</v>
      </c>
      <c r="I116" s="5" t="s">
        <v>35</v>
      </c>
      <c r="J116" s="5" t="s">
        <v>36</v>
      </c>
      <c r="K116" s="5" t="s">
        <v>35</v>
      </c>
      <c r="L116" s="5" t="s">
        <v>35</v>
      </c>
      <c r="M116" s="53">
        <v>3</v>
      </c>
      <c r="N116" s="43" t="s">
        <v>218</v>
      </c>
      <c r="O116" s="16"/>
      <c r="P116" s="8"/>
      <c r="Q116" s="9"/>
      <c r="R116" s="16">
        <f t="shared" si="20"/>
        <v>0</v>
      </c>
      <c r="S116" s="8">
        <f t="shared" si="21"/>
        <v>0</v>
      </c>
      <c r="T116" s="19">
        <f t="shared" si="22"/>
        <v>0</v>
      </c>
      <c r="U116" s="19">
        <f t="shared" si="23"/>
        <v>0</v>
      </c>
      <c r="V116" s="19">
        <f t="shared" si="24"/>
        <v>0</v>
      </c>
      <c r="W116" s="16">
        <f t="shared" si="19"/>
        <v>0</v>
      </c>
      <c r="X116" s="16">
        <f t="shared" si="19"/>
        <v>0</v>
      </c>
      <c r="Y116" s="347">
        <f t="shared" si="19"/>
        <v>0</v>
      </c>
      <c r="Z116" s="16"/>
      <c r="AA116" s="11"/>
    </row>
    <row r="117" spans="1:27" s="2" customFormat="1" ht="45" hidden="1" x14ac:dyDescent="0.25">
      <c r="A117" s="42" t="s">
        <v>251</v>
      </c>
      <c r="B117" s="59"/>
      <c r="C117" s="42" t="s">
        <v>61</v>
      </c>
      <c r="D117" s="44" t="s">
        <v>252</v>
      </c>
      <c r="E117" s="44"/>
      <c r="F117" s="86"/>
      <c r="G117" s="43" t="s">
        <v>253</v>
      </c>
      <c r="H117" s="5" t="s">
        <v>36</v>
      </c>
      <c r="I117" s="5" t="s">
        <v>35</v>
      </c>
      <c r="J117" s="5" t="s">
        <v>36</v>
      </c>
      <c r="K117" s="5" t="s">
        <v>35</v>
      </c>
      <c r="L117" s="5" t="s">
        <v>35</v>
      </c>
      <c r="M117" s="5">
        <v>0</v>
      </c>
      <c r="N117" s="43" t="s">
        <v>218</v>
      </c>
      <c r="O117" s="16"/>
      <c r="P117" s="8"/>
      <c r="Q117" s="9"/>
      <c r="R117" s="16">
        <f t="shared" si="20"/>
        <v>0</v>
      </c>
      <c r="S117" s="8">
        <f t="shared" si="21"/>
        <v>0</v>
      </c>
      <c r="T117" s="19">
        <f t="shared" si="22"/>
        <v>0</v>
      </c>
      <c r="U117" s="19">
        <f t="shared" si="23"/>
        <v>0</v>
      </c>
      <c r="V117" s="19">
        <f t="shared" si="24"/>
        <v>0</v>
      </c>
      <c r="W117" s="16">
        <f t="shared" si="19"/>
        <v>0</v>
      </c>
      <c r="X117" s="16">
        <f t="shared" si="19"/>
        <v>0</v>
      </c>
      <c r="Y117" s="347">
        <f t="shared" si="19"/>
        <v>0</v>
      </c>
      <c r="Z117" s="16"/>
      <c r="AA117" s="11"/>
    </row>
    <row r="118" spans="1:27" s="2" customFormat="1" ht="30" hidden="1" x14ac:dyDescent="0.25">
      <c r="A118" s="42" t="s">
        <v>259</v>
      </c>
      <c r="B118" s="59"/>
      <c r="C118" s="42" t="s">
        <v>61</v>
      </c>
      <c r="D118" s="44" t="s">
        <v>260</v>
      </c>
      <c r="E118" s="44"/>
      <c r="F118" s="86"/>
      <c r="G118" s="43" t="s">
        <v>253</v>
      </c>
      <c r="H118" s="5" t="s">
        <v>36</v>
      </c>
      <c r="I118" s="5" t="s">
        <v>35</v>
      </c>
      <c r="J118" s="5" t="s">
        <v>36</v>
      </c>
      <c r="K118" s="5" t="s">
        <v>35</v>
      </c>
      <c r="L118" s="5" t="s">
        <v>35</v>
      </c>
      <c r="M118" s="5">
        <v>0</v>
      </c>
      <c r="N118" s="43" t="s">
        <v>218</v>
      </c>
      <c r="O118" s="16"/>
      <c r="P118" s="8"/>
      <c r="Q118" s="9"/>
      <c r="R118" s="16">
        <f t="shared" si="20"/>
        <v>0</v>
      </c>
      <c r="S118" s="8">
        <f t="shared" si="21"/>
        <v>0</v>
      </c>
      <c r="T118" s="19">
        <f t="shared" si="22"/>
        <v>0</v>
      </c>
      <c r="U118" s="19">
        <f t="shared" si="23"/>
        <v>0</v>
      </c>
      <c r="V118" s="19">
        <f t="shared" si="24"/>
        <v>0</v>
      </c>
      <c r="W118" s="16">
        <f t="shared" si="19"/>
        <v>0</v>
      </c>
      <c r="X118" s="16">
        <f t="shared" si="19"/>
        <v>0</v>
      </c>
      <c r="Y118" s="347">
        <f t="shared" si="19"/>
        <v>0</v>
      </c>
      <c r="Z118" s="16"/>
      <c r="AA118" s="11"/>
    </row>
    <row r="119" spans="1:27" s="2" customFormat="1" hidden="1" x14ac:dyDescent="0.25">
      <c r="A119" s="42" t="s">
        <v>178</v>
      </c>
      <c r="B119" s="59">
        <v>3402</v>
      </c>
      <c r="C119" s="42" t="s">
        <v>61</v>
      </c>
      <c r="D119" s="43" t="s">
        <v>179</v>
      </c>
      <c r="E119" s="43" t="s">
        <v>350</v>
      </c>
      <c r="F119" s="85"/>
      <c r="G119" s="43"/>
      <c r="H119" s="5" t="s">
        <v>36</v>
      </c>
      <c r="I119" s="5" t="s">
        <v>35</v>
      </c>
      <c r="J119" s="5" t="s">
        <v>35</v>
      </c>
      <c r="K119" s="5" t="s">
        <v>33</v>
      </c>
      <c r="L119" s="5" t="s">
        <v>35</v>
      </c>
      <c r="M119" s="52">
        <v>6</v>
      </c>
      <c r="N119" s="43" t="s">
        <v>76</v>
      </c>
      <c r="O119" s="16">
        <v>0</v>
      </c>
      <c r="P119" s="8"/>
      <c r="Q119" s="9">
        <v>0.17</v>
      </c>
      <c r="R119" s="16">
        <f t="shared" si="20"/>
        <v>0</v>
      </c>
      <c r="S119" s="8">
        <f t="shared" si="21"/>
        <v>0</v>
      </c>
      <c r="T119" s="19">
        <f t="shared" si="22"/>
        <v>4.5000000000000012E-2</v>
      </c>
      <c r="U119" s="19">
        <f t="shared" si="23"/>
        <v>0.29500000000000004</v>
      </c>
      <c r="V119" s="19">
        <f t="shared" si="24"/>
        <v>7.216878364870323E-2</v>
      </c>
      <c r="W119" s="16">
        <f t="shared" si="19"/>
        <v>0</v>
      </c>
      <c r="X119" s="16">
        <f t="shared" si="19"/>
        <v>0</v>
      </c>
      <c r="Y119" s="347">
        <f t="shared" si="19"/>
        <v>0</v>
      </c>
      <c r="Z119" s="16"/>
      <c r="AA119" s="11"/>
    </row>
    <row r="120" spans="1:27" s="2" customFormat="1" ht="30.75" hidden="1" thickBot="1" x14ac:dyDescent="0.3">
      <c r="A120" s="42" t="s">
        <v>203</v>
      </c>
      <c r="B120" s="59">
        <v>3403</v>
      </c>
      <c r="C120" s="42" t="s">
        <v>121</v>
      </c>
      <c r="D120" s="43" t="s">
        <v>204</v>
      </c>
      <c r="E120" s="43" t="s">
        <v>351</v>
      </c>
      <c r="F120" s="95"/>
      <c r="G120" s="43"/>
      <c r="H120" s="5" t="s">
        <v>33</v>
      </c>
      <c r="I120" s="5" t="s">
        <v>35</v>
      </c>
      <c r="J120" s="5" t="s">
        <v>36</v>
      </c>
      <c r="K120" s="5" t="s">
        <v>35</v>
      </c>
      <c r="L120" s="5" t="s">
        <v>35</v>
      </c>
      <c r="M120" s="53">
        <v>5</v>
      </c>
      <c r="N120" s="43" t="s">
        <v>76</v>
      </c>
      <c r="O120" s="31"/>
      <c r="P120" s="49"/>
      <c r="Q120" s="50"/>
      <c r="R120" s="31">
        <f t="shared" si="20"/>
        <v>0</v>
      </c>
      <c r="S120" s="49">
        <f t="shared" si="21"/>
        <v>0</v>
      </c>
      <c r="T120" s="20">
        <f t="shared" si="22"/>
        <v>0</v>
      </c>
      <c r="U120" s="20">
        <f t="shared" si="23"/>
        <v>0</v>
      </c>
      <c r="V120" s="20">
        <f t="shared" si="24"/>
        <v>0</v>
      </c>
      <c r="W120" s="31">
        <f t="shared" si="19"/>
        <v>0</v>
      </c>
      <c r="X120" s="31">
        <f t="shared" si="19"/>
        <v>0</v>
      </c>
      <c r="Y120" s="349">
        <f t="shared" si="19"/>
        <v>0</v>
      </c>
      <c r="Z120" s="16"/>
      <c r="AA120" s="11"/>
    </row>
    <row r="121" spans="1:27" s="2" customFormat="1" ht="41.25" hidden="1" customHeight="1" thickBot="1" x14ac:dyDescent="0.3">
      <c r="B121" s="46"/>
      <c r="F121" s="96">
        <f>SUM(F6:F120)</f>
        <v>5955000</v>
      </c>
      <c r="G121" s="1"/>
      <c r="H121" s="46"/>
      <c r="I121" s="46"/>
      <c r="J121" s="46"/>
      <c r="K121" s="46"/>
      <c r="L121" s="46"/>
      <c r="M121" s="46"/>
      <c r="N121" s="1"/>
      <c r="O121" s="17">
        <f>IF($T$1="Y", SUM(O6:O120), SUMIF(O6:O120, "&gt;0", O6:O120))</f>
        <v>24123000</v>
      </c>
      <c r="P121" s="21">
        <f>IF($T$1="Y", SUM(P6:P120), SUMIF(P6:P120, "&gt;0", P6:P120))</f>
        <v>1700</v>
      </c>
      <c r="Q121" s="18"/>
      <c r="R121" s="17">
        <f>IF($T$1="Y", SUM(R6:R120), SUMIF(R6:R120, "&gt;0", R6:R120))</f>
        <v>4191500</v>
      </c>
      <c r="S121" s="21">
        <f>IF($T$1="Y", SUM(S6:S120), SUMIF(S6:S120, "&gt;0", S6:S120))</f>
        <v>206</v>
      </c>
      <c r="T121" s="30">
        <f t="array" ref="T121">SUM($O6:$O120*T6:T120)</f>
        <v>1091500</v>
      </c>
      <c r="U121" s="17">
        <f t="array" ref="U121">SUM($O6:$O120*U6:U120)</f>
        <v>7291500</v>
      </c>
      <c r="V121" s="17">
        <f t="array" ref="V121">SQRT( SUM( (O6:O120*V6:V120)^2 ) )</f>
        <v>622467.1594416314</v>
      </c>
      <c r="W121" s="38">
        <f>$R121+$V121*1.036</f>
        <v>4836375.9771815306</v>
      </c>
      <c r="X121" s="17">
        <f>$R121+$V121*1.28155</f>
        <v>4989222.7881824225</v>
      </c>
      <c r="Y121" s="350">
        <f>$R121+$V121*1.64485</f>
        <v>5215365.1072075674</v>
      </c>
      <c r="Z121" s="353"/>
      <c r="AA121" s="11"/>
    </row>
    <row r="122" spans="1:27" x14ac:dyDescent="0.25">
      <c r="A122" s="267">
        <v>41983</v>
      </c>
      <c r="B122" s="268"/>
      <c r="C122" s="269"/>
      <c r="D122" s="269"/>
      <c r="E122" s="269"/>
      <c r="F122" s="269"/>
      <c r="G122" s="270"/>
      <c r="H122" s="268"/>
      <c r="I122" s="268"/>
      <c r="J122" s="268"/>
      <c r="K122" s="268"/>
      <c r="L122" s="268"/>
      <c r="M122" s="268"/>
      <c r="N122" s="270"/>
      <c r="O122" s="268"/>
      <c r="P122" s="268"/>
      <c r="Q122" s="268"/>
      <c r="R122" s="268"/>
      <c r="S122" s="268"/>
      <c r="T122" s="269"/>
      <c r="U122" s="269"/>
      <c r="V122" s="269"/>
      <c r="W122" s="269"/>
      <c r="X122" s="269"/>
      <c r="Y122" s="269"/>
      <c r="Z122" s="354"/>
      <c r="AA122" s="269"/>
    </row>
    <row r="123" spans="1:27" s="2" customFormat="1" ht="45" x14ac:dyDescent="0.25">
      <c r="A123" s="182" t="s">
        <v>128</v>
      </c>
      <c r="B123" s="272">
        <v>3351</v>
      </c>
      <c r="C123" s="184" t="s">
        <v>121</v>
      </c>
      <c r="D123" s="215" t="s">
        <v>442</v>
      </c>
      <c r="E123" s="187" t="s">
        <v>350</v>
      </c>
      <c r="F123" s="186"/>
      <c r="G123" s="154" t="s">
        <v>341</v>
      </c>
      <c r="H123" s="184" t="s">
        <v>33</v>
      </c>
      <c r="I123" s="184" t="s">
        <v>35</v>
      </c>
      <c r="J123" s="184" t="s">
        <v>64</v>
      </c>
      <c r="K123" s="184" t="s">
        <v>35</v>
      </c>
      <c r="L123" s="184" t="s">
        <v>35</v>
      </c>
      <c r="M123" s="196" t="s">
        <v>34</v>
      </c>
      <c r="N123" s="184" t="s">
        <v>130</v>
      </c>
      <c r="O123" s="211">
        <v>-1200000</v>
      </c>
      <c r="P123" s="187"/>
      <c r="Q123" s="205">
        <v>0.5</v>
      </c>
      <c r="R123" s="197">
        <f>O123*Q123</f>
        <v>-600000</v>
      </c>
      <c r="S123" s="182">
        <f>P123*Q123</f>
        <v>0</v>
      </c>
      <c r="T123" s="193">
        <f>IF(H123="VL",0,IF(H123="L",0.1,IF(H123="M",0.25,IF(H123="H",0.75,IF(H123="VH",0.9,1)))))</f>
        <v>0.25</v>
      </c>
      <c r="U123" s="193">
        <f>IF(H123="VL",0.1,IF(H123="L",0.25,IF(H123="M",0.75,IF(H123="H",0.9,IF(H123="VH",1,1)))))</f>
        <v>0.75</v>
      </c>
      <c r="V123" s="194">
        <f>(U123-T123)/SQRT(12)</f>
        <v>0.14433756729740646</v>
      </c>
      <c r="W123" s="195">
        <f>($O123*($Q123+$T123+$U123)/3 + $O123*($U123-$T123)/6*0.84162)/1000</f>
        <v>-684.16200000000003</v>
      </c>
      <c r="X123" s="195">
        <f>($O123*($Q123+$T123+$U123)/3 + $O123*($U123-$T123)/6*1.036)/1000</f>
        <v>-703.6</v>
      </c>
      <c r="Y123" s="351">
        <f>($O123*($Q123+$T123+$U123)/3 + $O123*($U123-$T123)/6*1.28)/1000</f>
        <v>-728</v>
      </c>
      <c r="Z123" s="220"/>
      <c r="AA123" s="11"/>
    </row>
    <row r="124" spans="1:27" x14ac:dyDescent="0.25">
      <c r="A124" s="267">
        <v>41774</v>
      </c>
      <c r="B124" s="268"/>
      <c r="C124" s="269"/>
      <c r="D124" s="269"/>
      <c r="E124" s="269"/>
      <c r="F124" s="269"/>
      <c r="G124" s="270"/>
      <c r="H124" s="268"/>
      <c r="I124" s="268"/>
      <c r="J124" s="268"/>
      <c r="K124" s="268"/>
      <c r="L124" s="268"/>
      <c r="M124" s="268"/>
      <c r="N124" s="270"/>
      <c r="O124" s="268"/>
      <c r="P124" s="268"/>
      <c r="Q124" s="268"/>
      <c r="R124" s="268"/>
      <c r="S124" s="268"/>
      <c r="T124" s="269"/>
      <c r="U124" s="269"/>
      <c r="V124" s="269"/>
      <c r="W124" s="269"/>
      <c r="X124" s="269"/>
      <c r="Y124" s="269"/>
      <c r="Z124" s="354"/>
      <c r="AA124" s="269"/>
    </row>
    <row r="125" spans="1:27" s="2" customFormat="1" ht="30" x14ac:dyDescent="0.25">
      <c r="A125" s="182" t="s">
        <v>372</v>
      </c>
      <c r="B125" s="183">
        <v>3954</v>
      </c>
      <c r="C125" s="221" t="s">
        <v>121</v>
      </c>
      <c r="D125" s="222" t="s">
        <v>373</v>
      </c>
      <c r="E125" s="187" t="s">
        <v>368</v>
      </c>
      <c r="F125" s="199"/>
      <c r="G125" s="154" t="s">
        <v>341</v>
      </c>
      <c r="H125" s="184" t="s">
        <v>33</v>
      </c>
      <c r="I125" s="184" t="s">
        <v>35</v>
      </c>
      <c r="J125" s="184" t="s">
        <v>64</v>
      </c>
      <c r="K125" s="184" t="s">
        <v>35</v>
      </c>
      <c r="L125" s="184" t="s">
        <v>35</v>
      </c>
      <c r="M125" s="196" t="s">
        <v>34</v>
      </c>
      <c r="N125" s="208" t="s">
        <v>71</v>
      </c>
      <c r="O125" s="211">
        <v>-1972000</v>
      </c>
      <c r="P125" s="187"/>
      <c r="Q125" s="205">
        <v>1</v>
      </c>
      <c r="R125" s="197">
        <f>O125*Q125</f>
        <v>-1972000</v>
      </c>
      <c r="S125" s="182">
        <f>P125*Q125</f>
        <v>0</v>
      </c>
      <c r="T125" s="193">
        <f>IF(H125="VL",0,IF(H125="L",0.1,IF(H125="M",0.25,IF(H125="H",0.75,IF(H125="VH",0.9,1)))))</f>
        <v>0.25</v>
      </c>
      <c r="U125" s="193">
        <f>IF(H125="VL",0.1,IF(H125="L",0.25,IF(H125="M",0.75,IF(H125="H",0.9,IF(H125="VH",1,1)))))</f>
        <v>0.75</v>
      </c>
      <c r="V125" s="194">
        <f>(U125-T125)/SQRT(12)</f>
        <v>0.14433756729740646</v>
      </c>
      <c r="W125" s="195">
        <f>($O125*($Q125+$T125+$U125)/3 + $O125*($U125-$T125)/6*0.84162)/1000</f>
        <v>-1452.9728866666667</v>
      </c>
      <c r="X125" s="195">
        <f>($O125*($Q125+$T125+$U125)/3 + $O125*($U125-$T125)/6*1.036)/1000</f>
        <v>-1484.9159999999999</v>
      </c>
      <c r="Y125" s="351">
        <f>($O125*($Q125+$T125+$U125)/3 + $O125*($U125-$T125)/6*1.28)/1000</f>
        <v>-1525.0133333333335</v>
      </c>
      <c r="Z125" s="197">
        <v>-1972000</v>
      </c>
      <c r="AA125" s="11"/>
    </row>
    <row r="129" spans="7:20" ht="20.25" x14ac:dyDescent="0.35">
      <c r="G129" s="80"/>
    </row>
    <row r="133" spans="7:20" ht="47.25" customHeight="1" x14ac:dyDescent="0.25">
      <c r="T133" s="32"/>
    </row>
  </sheetData>
  <customSheetViews>
    <customSheetView guid="{8AF944F7-C3D1-6E48-8544-F246EE5D8D9B}" scale="150" fitToPage="1" hiddenRows="1" topLeftCell="F3">
      <pane ySplit="9" topLeftCell="A24" activePane="bottomLeft" state="frozenSplit"/>
      <selection pane="bottomLeft" activeCell="M127" sqref="M127"/>
      <pageMargins left="0.7" right="0.7" top="0.75" bottom="0.75" header="0.3" footer="0.3"/>
      <pageSetup scale="26" orientation="portrait"/>
      <headerFooter>
        <oddFooter>&amp;C&amp;P of &amp;N</oddFooter>
      </headerFooter>
    </customSheetView>
    <customSheetView guid="{2B075AC7-DBBC-D945-A93B-024C897F18C8}" scale="150" showPageBreaks="1" fitToPage="1" printArea="1" hiddenRows="1" topLeftCell="B3">
      <pane ySplit="9" topLeftCell="A24" activePane="bottomLeft" state="frozenSplit"/>
      <selection pane="bottomLeft" activeCell="A123" sqref="A123"/>
      <pageMargins left="0.7" right="0.7" top="0.75" bottom="0.75" header="0.3" footer="0.3"/>
      <headerFooter>
        <oddFooter>&amp;C&amp;P of &amp;N</oddFooter>
      </headerFooter>
    </customSheetView>
    <customSheetView guid="{7D136558-6337-4481-BB09-697594446B4E}" scale="150" showPageBreaks="1" fitToPage="1" printArea="1" hiddenRows="1" topLeftCell="F3">
      <pane ySplit="9" topLeftCell="A24" activePane="bottomLeft" state="frozenSplit"/>
      <selection pane="bottomLeft" activeCell="M127" sqref="M127"/>
      <pageMargins left="0.7" right="0.7" top="0.75" bottom="0.75" header="0.3" footer="0.3"/>
      <pageSetup scale="26" orientation="portrait"/>
      <headerFooter>
        <oddFooter>&amp;C&amp;P of &amp;N</oddFooter>
      </headerFooter>
    </customSheetView>
  </customSheetViews>
  <mergeCells count="4">
    <mergeCell ref="A4:D4"/>
    <mergeCell ref="H4:M4"/>
    <mergeCell ref="T4:Y4"/>
    <mergeCell ref="T5:U5"/>
  </mergeCells>
  <phoneticPr fontId="21" type="noConversion"/>
  <conditionalFormatting sqref="T6:V59 T65:V120">
    <cfRule type="cellIs" dxfId="63" priority="29" operator="greaterThan">
      <formula>1</formula>
    </cfRule>
    <cfRule type="cellIs" dxfId="62" priority="30" operator="lessThan">
      <formula>0</formula>
    </cfRule>
  </conditionalFormatting>
  <conditionalFormatting sqref="T6:U59 T65:U120">
    <cfRule type="cellIs" dxfId="61" priority="27" operator="equal">
      <formula>1</formula>
    </cfRule>
    <cfRule type="cellIs" dxfId="60" priority="28" operator="equal">
      <formula>0</formula>
    </cfRule>
  </conditionalFormatting>
  <conditionalFormatting sqref="C6:C120">
    <cfRule type="cellIs" dxfId="59" priority="25" stopIfTrue="1" operator="equal">
      <formula>"Threat"</formula>
    </cfRule>
    <cfRule type="cellIs" dxfId="58" priority="26" stopIfTrue="1" operator="equal">
      <formula>"Opportunity"</formula>
    </cfRule>
  </conditionalFormatting>
  <conditionalFormatting sqref="T60:V63">
    <cfRule type="cellIs" dxfId="57" priority="23" operator="greaterThan">
      <formula>1</formula>
    </cfRule>
    <cfRule type="cellIs" dxfId="56" priority="24" operator="lessThan">
      <formula>0</formula>
    </cfRule>
  </conditionalFormatting>
  <conditionalFormatting sqref="T60:U63">
    <cfRule type="cellIs" dxfId="55" priority="21" operator="equal">
      <formula>1</formula>
    </cfRule>
    <cfRule type="cellIs" dxfId="54" priority="22" operator="equal">
      <formula>0</formula>
    </cfRule>
  </conditionalFormatting>
  <conditionalFormatting sqref="T64:U64">
    <cfRule type="cellIs" dxfId="53" priority="17" operator="equal">
      <formula>1</formula>
    </cfRule>
    <cfRule type="cellIs" dxfId="52" priority="18" operator="equal">
      <formula>0</formula>
    </cfRule>
  </conditionalFormatting>
  <conditionalFormatting sqref="T64:V64">
    <cfRule type="cellIs" dxfId="51" priority="19" operator="greaterThan">
      <formula>1</formula>
    </cfRule>
    <cfRule type="cellIs" dxfId="50" priority="20" operator="lessThan">
      <formula>0</formula>
    </cfRule>
  </conditionalFormatting>
  <conditionalFormatting sqref="C123">
    <cfRule type="cellIs" dxfId="49" priority="3" stopIfTrue="1" operator="equal">
      <formula>"Threat"</formula>
    </cfRule>
    <cfRule type="cellIs" dxfId="48" priority="4" stopIfTrue="1" operator="equal">
      <formula>"Opportunity"</formula>
    </cfRule>
  </conditionalFormatting>
  <conditionalFormatting sqref="C125">
    <cfRule type="cellIs" dxfId="47" priority="1" stopIfTrue="1" operator="equal">
      <formula>"Threat"</formula>
    </cfRule>
    <cfRule type="cellIs" dxfId="46" priority="2" stopIfTrue="1" operator="equal">
      <formula>"Opportunity"</formula>
    </cfRule>
  </conditionalFormatting>
  <dataValidations count="2">
    <dataValidation type="list" allowBlank="1" showInputMessage="1" showErrorMessage="1" sqref="H6:L120 H123:L123 H125:L125">
      <formula1>"VH,H,M,L,VL,N"</formula1>
    </dataValidation>
    <dataValidation type="list" allowBlank="1" showInputMessage="1" showErrorMessage="1" sqref="C6:C120 C123 C125">
      <formula1>"Threat,Opportunity"</formula1>
    </dataValidation>
  </dataValidations>
  <hyperlinks>
    <hyperlink ref="B123" r:id="rId1" display="http://mu2e-docdb.fnal.gov:8080/cgi-bin/ShowDocument?docid=3351"/>
    <hyperlink ref="B125" r:id="rId2" display="http://mu2e-docdb.fnal.gov:8080/cgi-bin/ShowDocument?docid=3954"/>
  </hyperlinks>
  <pageMargins left="0.75" right="0.75" top="1" bottom="1" header="0.5" footer="0.5"/>
  <pageSetup scale="26" orientation="portrait"/>
  <headerFooter>
    <oddFooter>&amp;C&amp;P of &amp;N</oddFooter>
  </headerFooter>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20" zoomScale="150" zoomScaleNormal="150" zoomScalePageLayoutView="150" workbookViewId="0">
      <selection activeCell="B22" sqref="B22"/>
    </sheetView>
  </sheetViews>
  <sheetFormatPr defaultColWidth="8.85546875" defaultRowHeight="15" x14ac:dyDescent="0.25"/>
  <cols>
    <col min="1" max="1" width="28" style="136" customWidth="1"/>
    <col min="2" max="2" width="48.140625" customWidth="1"/>
  </cols>
  <sheetData>
    <row r="1" spans="1:2" x14ac:dyDescent="0.25">
      <c r="A1" s="136" t="s">
        <v>96</v>
      </c>
      <c r="B1" s="135" t="s">
        <v>450</v>
      </c>
    </row>
    <row r="2" spans="1:2" x14ac:dyDescent="0.25">
      <c r="A2" s="136" t="s">
        <v>123</v>
      </c>
      <c r="B2" s="135" t="s">
        <v>399</v>
      </c>
    </row>
    <row r="3" spans="1:2" x14ac:dyDescent="0.25">
      <c r="A3" s="136" t="s">
        <v>83</v>
      </c>
      <c r="B3" s="135" t="s">
        <v>400</v>
      </c>
    </row>
    <row r="4" spans="1:2" x14ac:dyDescent="0.25">
      <c r="A4" s="136" t="s">
        <v>90</v>
      </c>
      <c r="B4" s="135" t="s">
        <v>401</v>
      </c>
    </row>
    <row r="5" spans="1:2" x14ac:dyDescent="0.25">
      <c r="A5" s="136" t="s">
        <v>246</v>
      </c>
      <c r="B5" s="135" t="s">
        <v>449</v>
      </c>
    </row>
    <row r="6" spans="1:2" x14ac:dyDescent="0.25">
      <c r="A6" s="136" t="s">
        <v>165</v>
      </c>
      <c r="B6" s="135" t="s">
        <v>450</v>
      </c>
    </row>
    <row r="7" spans="1:2" x14ac:dyDescent="0.25">
      <c r="A7" s="136" t="s">
        <v>180</v>
      </c>
      <c r="B7" s="135" t="s">
        <v>402</v>
      </c>
    </row>
    <row r="8" spans="1:2" x14ac:dyDescent="0.25">
      <c r="A8" s="136" t="s">
        <v>356</v>
      </c>
      <c r="B8" s="135" t="s">
        <v>403</v>
      </c>
    </row>
    <row r="9" spans="1:2" x14ac:dyDescent="0.25">
      <c r="A9" s="136" t="s">
        <v>117</v>
      </c>
      <c r="B9" s="135">
        <v>475.7</v>
      </c>
    </row>
    <row r="10" spans="1:2" x14ac:dyDescent="0.25">
      <c r="A10" s="136" t="s">
        <v>329</v>
      </c>
      <c r="B10" s="135">
        <v>475.7</v>
      </c>
    </row>
    <row r="11" spans="1:2" x14ac:dyDescent="0.25">
      <c r="A11" s="136" t="s">
        <v>128</v>
      </c>
      <c r="B11" s="135">
        <v>475.03</v>
      </c>
    </row>
    <row r="12" spans="1:2" x14ac:dyDescent="0.25">
      <c r="A12" s="136" t="s">
        <v>189</v>
      </c>
      <c r="B12" s="135">
        <v>475.03</v>
      </c>
    </row>
    <row r="13" spans="1:2" x14ac:dyDescent="0.25">
      <c r="A13" s="136" t="s">
        <v>131</v>
      </c>
      <c r="B13" s="135" t="s">
        <v>404</v>
      </c>
    </row>
    <row r="14" spans="1:2" x14ac:dyDescent="0.25">
      <c r="A14" s="136" t="s">
        <v>318</v>
      </c>
      <c r="B14" s="135" t="s">
        <v>451</v>
      </c>
    </row>
    <row r="15" spans="1:2" x14ac:dyDescent="0.25">
      <c r="A15" s="136" t="s">
        <v>319</v>
      </c>
      <c r="B15" s="135" t="s">
        <v>405</v>
      </c>
    </row>
    <row r="16" spans="1:2" x14ac:dyDescent="0.25">
      <c r="A16" s="136" t="s">
        <v>39</v>
      </c>
      <c r="B16" s="135" t="s">
        <v>406</v>
      </c>
    </row>
    <row r="17" spans="1:2" x14ac:dyDescent="0.25">
      <c r="A17" s="136" t="s">
        <v>40</v>
      </c>
      <c r="B17" s="135" t="s">
        <v>452</v>
      </c>
    </row>
    <row r="18" spans="1:2" x14ac:dyDescent="0.25">
      <c r="A18" s="136" t="s">
        <v>182</v>
      </c>
      <c r="B18" s="135" t="s">
        <v>407</v>
      </c>
    </row>
    <row r="19" spans="1:2" x14ac:dyDescent="0.25">
      <c r="A19" s="136" t="s">
        <v>37</v>
      </c>
      <c r="B19" s="135" t="s">
        <v>407</v>
      </c>
    </row>
    <row r="20" spans="1:2" x14ac:dyDescent="0.25">
      <c r="A20" s="136" t="s">
        <v>72</v>
      </c>
      <c r="B20" s="135">
        <v>475</v>
      </c>
    </row>
    <row r="21" spans="1:2" x14ac:dyDescent="0.25">
      <c r="A21" s="136" t="s">
        <v>272</v>
      </c>
      <c r="B21" s="135">
        <v>475.03</v>
      </c>
    </row>
    <row r="22" spans="1:2" x14ac:dyDescent="0.25">
      <c r="A22" s="136" t="s">
        <v>310</v>
      </c>
      <c r="B22" s="135" t="s">
        <v>325</v>
      </c>
    </row>
    <row r="23" spans="1:2" x14ac:dyDescent="0.25">
      <c r="A23" s="136" t="s">
        <v>398</v>
      </c>
      <c r="B23" s="135" t="s">
        <v>408</v>
      </c>
    </row>
    <row r="24" spans="1:2" x14ac:dyDescent="0.25">
      <c r="A24" s="136" t="s">
        <v>369</v>
      </c>
      <c r="B24" s="135" t="s">
        <v>408</v>
      </c>
    </row>
    <row r="25" spans="1:2" x14ac:dyDescent="0.25">
      <c r="A25" s="136" t="s">
        <v>86</v>
      </c>
      <c r="B25" s="135" t="s">
        <v>409</v>
      </c>
    </row>
    <row r="26" spans="1:2" x14ac:dyDescent="0.25">
      <c r="A26" s="136" t="s">
        <v>69</v>
      </c>
      <c r="B26" s="135" t="s">
        <v>409</v>
      </c>
    </row>
    <row r="27" spans="1:2" x14ac:dyDescent="0.25">
      <c r="A27" s="136" t="s">
        <v>88</v>
      </c>
      <c r="B27" s="135" t="s">
        <v>453</v>
      </c>
    </row>
    <row r="28" spans="1:2" x14ac:dyDescent="0.25">
      <c r="A28" s="136" t="s">
        <v>108</v>
      </c>
      <c r="B28" s="135" t="s">
        <v>410</v>
      </c>
    </row>
    <row r="29" spans="1:2" x14ac:dyDescent="0.25">
      <c r="A29" s="136" t="s">
        <v>170</v>
      </c>
      <c r="B29" s="135" t="s">
        <v>322</v>
      </c>
    </row>
    <row r="30" spans="1:2" x14ac:dyDescent="0.25">
      <c r="A30" s="136" t="s">
        <v>332</v>
      </c>
      <c r="B30" s="135" t="s">
        <v>411</v>
      </c>
    </row>
    <row r="31" spans="1:2" x14ac:dyDescent="0.25">
      <c r="A31" s="136" t="s">
        <v>372</v>
      </c>
      <c r="B31" s="135" t="s">
        <v>412</v>
      </c>
    </row>
    <row r="32" spans="1:2" x14ac:dyDescent="0.25">
      <c r="A32" s="136" t="s">
        <v>379</v>
      </c>
      <c r="B32" s="135" t="s">
        <v>413</v>
      </c>
    </row>
    <row r="33" spans="1:2" x14ac:dyDescent="0.25">
      <c r="A33" s="136" t="s">
        <v>153</v>
      </c>
      <c r="B33" s="135" t="s">
        <v>414</v>
      </c>
    </row>
    <row r="34" spans="1:2" x14ac:dyDescent="0.25">
      <c r="A34" s="136" t="s">
        <v>6</v>
      </c>
      <c r="B34" s="135" t="s">
        <v>415</v>
      </c>
    </row>
    <row r="35" spans="1:2" x14ac:dyDescent="0.25">
      <c r="A35" s="136" t="s">
        <v>3</v>
      </c>
      <c r="B35" s="135">
        <v>475.09</v>
      </c>
    </row>
    <row r="36" spans="1:2" x14ac:dyDescent="0.25">
      <c r="A36" s="136" t="s">
        <v>191</v>
      </c>
      <c r="B36" s="135" t="s">
        <v>448</v>
      </c>
    </row>
    <row r="37" spans="1:2" x14ac:dyDescent="0.25">
      <c r="A37" s="136" t="s">
        <v>197</v>
      </c>
      <c r="B37" s="135" t="s">
        <v>447</v>
      </c>
    </row>
    <row r="38" spans="1:2" x14ac:dyDescent="0.25">
      <c r="A38" s="136" t="s">
        <v>193</v>
      </c>
      <c r="B38" s="135" t="s">
        <v>448</v>
      </c>
    </row>
    <row r="39" spans="1:2" x14ac:dyDescent="0.25">
      <c r="A39" s="136" t="s">
        <v>25</v>
      </c>
      <c r="B39" s="135" t="s">
        <v>447</v>
      </c>
    </row>
    <row r="40" spans="1:2" x14ac:dyDescent="0.25">
      <c r="A40" s="136" t="s">
        <v>232</v>
      </c>
      <c r="B40" s="135" t="s">
        <v>417</v>
      </c>
    </row>
    <row r="41" spans="1:2" x14ac:dyDescent="0.25">
      <c r="A41" s="136" t="s">
        <v>184</v>
      </c>
      <c r="B41" s="135" t="s">
        <v>418</v>
      </c>
    </row>
    <row r="42" spans="1:2" x14ac:dyDescent="0.25">
      <c r="A42" s="136" t="s">
        <v>75</v>
      </c>
      <c r="B42" s="135" t="s">
        <v>419</v>
      </c>
    </row>
    <row r="43" spans="1:2" x14ac:dyDescent="0.25">
      <c r="A43" s="136" t="s">
        <v>178</v>
      </c>
      <c r="B43" s="135" t="s">
        <v>454</v>
      </c>
    </row>
    <row r="44" spans="1:2" x14ac:dyDescent="0.25">
      <c r="A44" s="136" t="s">
        <v>203</v>
      </c>
      <c r="B44" s="135" t="s">
        <v>420</v>
      </c>
    </row>
    <row r="45" spans="1:2" x14ac:dyDescent="0.25">
      <c r="A45" s="136" t="s">
        <v>378</v>
      </c>
      <c r="B45" s="135" t="s">
        <v>421</v>
      </c>
    </row>
    <row r="46" spans="1:2" x14ac:dyDescent="0.25">
      <c r="A46" s="136" t="s">
        <v>265</v>
      </c>
      <c r="B46" s="135" t="s">
        <v>324</v>
      </c>
    </row>
    <row r="47" spans="1:2" x14ac:dyDescent="0.25">
      <c r="A47" s="136" t="s">
        <v>266</v>
      </c>
      <c r="B47" s="135" t="s">
        <v>323</v>
      </c>
    </row>
    <row r="48" spans="1:2" x14ac:dyDescent="0.25">
      <c r="A48" s="136" t="s">
        <v>267</v>
      </c>
      <c r="B48" s="135" t="s">
        <v>422</v>
      </c>
    </row>
    <row r="49" spans="1:2" x14ac:dyDescent="0.25">
      <c r="A49" s="136" t="s">
        <v>268</v>
      </c>
      <c r="B49" s="135" t="s">
        <v>423</v>
      </c>
    </row>
    <row r="50" spans="1:2" x14ac:dyDescent="0.25">
      <c r="A50" s="136" t="s">
        <v>269</v>
      </c>
      <c r="B50" s="135" t="s">
        <v>424</v>
      </c>
    </row>
    <row r="51" spans="1:2" x14ac:dyDescent="0.25">
      <c r="A51" s="136" t="s">
        <v>270</v>
      </c>
      <c r="B51" s="135" t="s">
        <v>321</v>
      </c>
    </row>
    <row r="52" spans="1:2" x14ac:dyDescent="0.25">
      <c r="A52" s="136" t="s">
        <v>271</v>
      </c>
      <c r="B52" s="135" t="s">
        <v>416</v>
      </c>
    </row>
  </sheetData>
  <customSheetViews>
    <customSheetView guid="{8AF944F7-C3D1-6E48-8544-F246EE5D8D9B}" scale="150" topLeftCell="A20">
      <selection activeCell="B22" sqref="B22"/>
      <pageMargins left="0.7" right="0.7" top="0.75" bottom="0.75" header="0.3" footer="0.3"/>
    </customSheetView>
    <customSheetView guid="{2B075AC7-DBBC-D945-A93B-024C897F18C8}" scale="150" topLeftCell="A20">
      <selection activeCell="B22" sqref="B22"/>
      <pageMargins left="0.7" right="0.7" top="0.75" bottom="0.75" header="0.3" footer="0.3"/>
    </customSheetView>
    <customSheetView guid="{7D136558-6337-4481-BB09-697594446B4E}" scale="150" topLeftCell="A20">
      <selection activeCell="B22" sqref="B22"/>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P5" sqref="P5"/>
    </sheetView>
  </sheetViews>
  <sheetFormatPr defaultColWidth="8.85546875" defaultRowHeight="15" x14ac:dyDescent="0.25"/>
  <cols>
    <col min="1" max="1" width="8" bestFit="1" customWidth="1"/>
    <col min="2" max="2" width="8.140625" bestFit="1" customWidth="1"/>
    <col min="3" max="3" width="6.7109375" bestFit="1" customWidth="1"/>
    <col min="5" max="5" width="7.42578125" bestFit="1" customWidth="1"/>
    <col min="6" max="6" width="9.42578125" bestFit="1" customWidth="1"/>
    <col min="7" max="7" width="14.140625" bestFit="1" customWidth="1"/>
    <col min="8" max="8" width="10.7109375" bestFit="1" customWidth="1"/>
    <col min="10" max="10" width="4.85546875" bestFit="1" customWidth="1"/>
    <col min="11" max="11" width="9.28515625" bestFit="1" customWidth="1"/>
    <col min="12" max="13" width="5.85546875" bestFit="1" customWidth="1"/>
    <col min="14" max="14" width="9" bestFit="1" customWidth="1"/>
    <col min="15" max="15" width="8.85546875" bestFit="1" customWidth="1"/>
    <col min="16" max="16" width="8.7109375" bestFit="1" customWidth="1"/>
    <col min="17" max="17" width="8.85546875" bestFit="1" customWidth="1"/>
    <col min="18" max="19" width="8.7109375" bestFit="1" customWidth="1"/>
    <col min="20" max="22" width="6.140625" bestFit="1" customWidth="1"/>
    <col min="23" max="25" width="7.28515625" bestFit="1" customWidth="1"/>
    <col min="27" max="27" width="7.42578125" bestFit="1" customWidth="1"/>
  </cols>
  <sheetData>
    <row r="1" spans="1:27" s="2" customFormat="1" ht="15.75" thickBot="1" x14ac:dyDescent="0.3">
      <c r="B1" s="46"/>
      <c r="G1" s="1"/>
      <c r="H1" s="46"/>
      <c r="I1" s="46"/>
      <c r="J1" s="46"/>
      <c r="K1" s="46"/>
      <c r="L1" s="46"/>
      <c r="M1" s="46"/>
      <c r="N1" s="1"/>
      <c r="O1" s="22"/>
      <c r="P1" s="22"/>
      <c r="Q1" s="22"/>
      <c r="R1" s="22"/>
      <c r="S1" s="22"/>
    </row>
    <row r="2" spans="1:27" s="3" customFormat="1" ht="15.75" thickBot="1" x14ac:dyDescent="0.3">
      <c r="A2" s="378" t="s">
        <v>26</v>
      </c>
      <c r="B2" s="379"/>
      <c r="C2" s="380"/>
      <c r="D2" s="380"/>
      <c r="E2" s="144"/>
      <c r="F2" s="144"/>
      <c r="G2" s="45"/>
      <c r="H2" s="381" t="s">
        <v>54</v>
      </c>
      <c r="I2" s="381"/>
      <c r="J2" s="381"/>
      <c r="K2" s="381"/>
      <c r="L2" s="381"/>
      <c r="M2" s="381"/>
      <c r="N2" s="45" t="s">
        <v>55</v>
      </c>
      <c r="O2" s="23"/>
      <c r="P2" s="23"/>
      <c r="Q2" s="23"/>
      <c r="R2" s="23"/>
      <c r="S2" s="23"/>
      <c r="T2" s="382" t="s">
        <v>48</v>
      </c>
      <c r="U2" s="383"/>
      <c r="V2" s="383"/>
      <c r="W2" s="383"/>
      <c r="X2" s="383"/>
      <c r="Y2" s="384"/>
      <c r="Z2" s="35"/>
      <c r="AA2" s="26" t="s">
        <v>32</v>
      </c>
    </row>
    <row r="3" spans="1:27" s="4" customFormat="1" ht="135.75" thickBot="1" x14ac:dyDescent="0.3">
      <c r="A3" s="39" t="s">
        <v>27</v>
      </c>
      <c r="B3" s="57" t="s">
        <v>307</v>
      </c>
      <c r="C3" s="40" t="s">
        <v>56</v>
      </c>
      <c r="D3" s="41" t="s">
        <v>28</v>
      </c>
      <c r="E3" s="41" t="s">
        <v>309</v>
      </c>
      <c r="F3" s="41" t="s">
        <v>312</v>
      </c>
      <c r="G3" s="41" t="s">
        <v>428</v>
      </c>
      <c r="H3" s="47" t="s">
        <v>30</v>
      </c>
      <c r="I3" s="76" t="s">
        <v>57</v>
      </c>
      <c r="J3" s="47" t="s">
        <v>31</v>
      </c>
      <c r="K3" s="47" t="s">
        <v>58</v>
      </c>
      <c r="L3" s="47" t="s">
        <v>545</v>
      </c>
      <c r="M3" s="47" t="s">
        <v>59</v>
      </c>
      <c r="N3" s="41" t="s">
        <v>29</v>
      </c>
      <c r="O3" s="27" t="s">
        <v>41</v>
      </c>
      <c r="P3" s="28" t="s">
        <v>42</v>
      </c>
      <c r="Q3" s="28" t="s">
        <v>43</v>
      </c>
      <c r="R3" s="28" t="s">
        <v>50</v>
      </c>
      <c r="S3" s="29" t="s">
        <v>51</v>
      </c>
      <c r="T3" s="385" t="s">
        <v>44</v>
      </c>
      <c r="U3" s="386"/>
      <c r="V3" s="143" t="s">
        <v>45</v>
      </c>
      <c r="W3" s="143" t="s">
        <v>53</v>
      </c>
      <c r="X3" s="143" t="s">
        <v>46</v>
      </c>
      <c r="Y3" s="143" t="s">
        <v>47</v>
      </c>
      <c r="Z3" s="36"/>
      <c r="AA3" s="10"/>
    </row>
    <row r="4" spans="1:27" s="2" customFormat="1" ht="120" x14ac:dyDescent="0.25">
      <c r="A4" s="142" t="s">
        <v>379</v>
      </c>
      <c r="B4" s="137">
        <v>4225</v>
      </c>
      <c r="C4" s="129" t="s">
        <v>61</v>
      </c>
      <c r="D4" s="134" t="s">
        <v>380</v>
      </c>
      <c r="E4" s="54" t="s">
        <v>381</v>
      </c>
      <c r="F4" s="117">
        <v>400000</v>
      </c>
      <c r="G4" s="54" t="s">
        <v>507</v>
      </c>
      <c r="H4" s="55" t="s">
        <v>33</v>
      </c>
      <c r="I4" s="55" t="s">
        <v>64</v>
      </c>
      <c r="J4" s="55" t="s">
        <v>64</v>
      </c>
      <c r="K4" s="55" t="s">
        <v>33</v>
      </c>
      <c r="L4" s="55" t="s">
        <v>35</v>
      </c>
      <c r="M4" s="145">
        <v>40</v>
      </c>
      <c r="N4" s="54" t="s">
        <v>71</v>
      </c>
      <c r="O4" s="106">
        <v>2000000</v>
      </c>
      <c r="P4" s="107">
        <v>250</v>
      </c>
      <c r="Q4" s="108">
        <v>0.25</v>
      </c>
      <c r="R4" s="56">
        <f>O4*Q4</f>
        <v>500000</v>
      </c>
      <c r="S4" s="104">
        <f>P4*Q4</f>
        <v>62.5</v>
      </c>
      <c r="T4" s="130">
        <f>IF(H4="VL",0,IF(H4="L",0.1,IF(H4="M",0.25,IF(H4="H",0.75,IF(H4="VH",0.9,1)))))</f>
        <v>0.25</v>
      </c>
      <c r="U4" s="19">
        <f>IF(H4="VL",0.1,IF(H4="L",0.25,IF(H4="M",0.75,IF(H4="H",0.9,IF(H4="VH",1,1)))))</f>
        <v>0.75</v>
      </c>
      <c r="V4" s="114">
        <f>(U4-T4)/SQRT(12)</f>
        <v>0.14433756729740646</v>
      </c>
      <c r="W4" s="113">
        <f>($O4*($Q4+$T4+$U4)/3 + $O4*($U4-$T4)/6*1.036)/1000</f>
        <v>1006</v>
      </c>
      <c r="X4" s="113">
        <f>($O4*($Q4+$T4+$U4)/3 + $O4*($U4-$T4)/6*1.28)/1000</f>
        <v>1046.6666666666667</v>
      </c>
      <c r="Y4" s="113">
        <f>($O4*($Q4+$T4+$U4)/3 + $O4*($U4-$T4)/6*1.64)/1000</f>
        <v>1106.6666666666667</v>
      </c>
      <c r="Z4"/>
      <c r="AA4" s="11"/>
    </row>
    <row r="5" spans="1:27" s="2" customFormat="1" ht="120" x14ac:dyDescent="0.25">
      <c r="A5" s="42" t="s">
        <v>86</v>
      </c>
      <c r="B5" s="137">
        <v>3367</v>
      </c>
      <c r="C5" s="42" t="s">
        <v>61</v>
      </c>
      <c r="D5" s="140" t="s">
        <v>87</v>
      </c>
      <c r="E5" s="102" t="s">
        <v>346</v>
      </c>
      <c r="F5" s="115">
        <v>20000</v>
      </c>
      <c r="G5" s="54" t="s">
        <v>508</v>
      </c>
      <c r="H5" s="55" t="s">
        <v>33</v>
      </c>
      <c r="I5" s="55" t="s">
        <v>34</v>
      </c>
      <c r="J5" s="55" t="s">
        <v>64</v>
      </c>
      <c r="K5" s="55" t="s">
        <v>35</v>
      </c>
      <c r="L5" s="55" t="s">
        <v>35</v>
      </c>
      <c r="M5" s="145">
        <v>40</v>
      </c>
      <c r="N5" s="43" t="s">
        <v>71</v>
      </c>
      <c r="O5" s="106">
        <v>1384383</v>
      </c>
      <c r="P5" s="107">
        <v>200</v>
      </c>
      <c r="Q5" s="108">
        <v>0.5</v>
      </c>
      <c r="R5" s="56">
        <f>O5*Q5</f>
        <v>692191.5</v>
      </c>
      <c r="S5" s="104">
        <f>P5*Q5</f>
        <v>100</v>
      </c>
      <c r="T5" s="130">
        <f>IF(H5="VL",0,IF(H5="L",0.1,IF(H5="M",0.25,IF(H5="H",0.75,IF(H5="VH",0.9,1)))))</f>
        <v>0.25</v>
      </c>
      <c r="U5" s="19">
        <f>IF(H5="VL",0.1,IF(H5="L",0.25,IF(H5="M",0.75,IF(H5="H",0.9,IF(H5="VH",1,1)))))</f>
        <v>0.75</v>
      </c>
      <c r="V5" s="114">
        <f>(U5-T5)/SQRT(12)</f>
        <v>0.14433756729740646</v>
      </c>
      <c r="W5" s="113">
        <f>($O5*($Q5+$T5+$U5)/3 + $O5*($U5-$T5)/6*1.036)/1000</f>
        <v>811.70989899999995</v>
      </c>
      <c r="X5" s="113">
        <f>($O5*($Q5+$T5+$U5)/3 + $O5*($U5-$T5)/6*1.28)/1000</f>
        <v>839.85901999999999</v>
      </c>
      <c r="Y5" s="113">
        <f>($O5*($Q5+$T5+$U5)/3 + $O5*($U5-$T5)/6*1.64)/1000</f>
        <v>881.39051000000006</v>
      </c>
      <c r="Z5"/>
      <c r="AA5" s="11"/>
    </row>
    <row r="6" spans="1:27" s="2" customFormat="1" ht="105" x14ac:dyDescent="0.25">
      <c r="A6" s="42" t="s">
        <v>108</v>
      </c>
      <c r="B6" s="137">
        <v>3372</v>
      </c>
      <c r="C6" s="42" t="s">
        <v>61</v>
      </c>
      <c r="D6" s="111" t="s">
        <v>109</v>
      </c>
      <c r="E6" s="43" t="s">
        <v>346</v>
      </c>
      <c r="F6" s="115">
        <v>50000</v>
      </c>
      <c r="G6" s="54" t="s">
        <v>509</v>
      </c>
      <c r="H6" s="55" t="s">
        <v>36</v>
      </c>
      <c r="I6" s="55" t="s">
        <v>64</v>
      </c>
      <c r="J6" s="55" t="s">
        <v>64</v>
      </c>
      <c r="K6" s="55" t="s">
        <v>35</v>
      </c>
      <c r="L6" s="55" t="s">
        <v>35</v>
      </c>
      <c r="M6" s="145">
        <v>24</v>
      </c>
      <c r="N6" s="43" t="s">
        <v>71</v>
      </c>
      <c r="O6" s="106">
        <v>2000000</v>
      </c>
      <c r="P6" s="107">
        <v>200</v>
      </c>
      <c r="Q6" s="108">
        <v>0.1</v>
      </c>
      <c r="R6" s="56">
        <f>O6*Q6</f>
        <v>200000</v>
      </c>
      <c r="S6" s="104">
        <f>P6*Q6</f>
        <v>20</v>
      </c>
      <c r="T6" s="130">
        <f>IF(H6="VL",0,IF(H6="L",0.1,IF(H6="M",0.25,IF(H6="H",0.75,IF(H6="VH",0.9,1)))))</f>
        <v>0.1</v>
      </c>
      <c r="U6" s="19">
        <f>IF(H6="VL",0.1,IF(H6="L",0.25,IF(H6="M",0.75,IF(H6="H",0.9,IF(H6="VH",1,1)))))</f>
        <v>0.25</v>
      </c>
      <c r="V6" s="114">
        <f>(U6-T6)/SQRT(12)</f>
        <v>4.3301270189221933E-2</v>
      </c>
      <c r="W6" s="113">
        <f>($O6*($Q6+$T6+$U6)/3 + $O6*($U6-$T6)/6*1.036)/1000</f>
        <v>351.8</v>
      </c>
      <c r="X6" s="113">
        <f>($O6*($Q6+$T6+$U6)/3 + $O6*($U6-$T6)/6*1.28)/1000</f>
        <v>364</v>
      </c>
      <c r="Y6" s="113">
        <f>($O6*($Q6+$T6+$U6)/3 + $O6*($U6-$T6)/6*1.64)/1000</f>
        <v>382</v>
      </c>
      <c r="Z6"/>
      <c r="AA6" s="11"/>
    </row>
  </sheetData>
  <customSheetViews>
    <customSheetView guid="{8AF944F7-C3D1-6E48-8544-F246EE5D8D9B}">
      <selection activeCell="P5" sqref="P5"/>
      <pageMargins left="0.7" right="0.7" top="0.75" bottom="0.75" header="0.3" footer="0.3"/>
    </customSheetView>
    <customSheetView guid="{2B075AC7-DBBC-D945-A93B-024C897F18C8}">
      <selection activeCell="J7" sqref="J7"/>
      <pageMargins left="0.7" right="0.7" top="0.75" bottom="0.75" header="0.3" footer="0.3"/>
    </customSheetView>
    <customSheetView guid="{7D136558-6337-4481-BB09-697594446B4E}">
      <selection activeCell="P5" sqref="P5"/>
      <pageMargins left="0.7" right="0.7" top="0.75" bottom="0.75" header="0.3" footer="0.3"/>
    </customSheetView>
  </customSheetViews>
  <mergeCells count="4">
    <mergeCell ref="A2:D2"/>
    <mergeCell ref="H2:M2"/>
    <mergeCell ref="T2:Y2"/>
    <mergeCell ref="T3:U3"/>
  </mergeCells>
  <phoneticPr fontId="21" type="noConversion"/>
  <conditionalFormatting sqref="T4:V4">
    <cfRule type="cellIs" dxfId="45" priority="25" operator="greaterThan">
      <formula>1</formula>
    </cfRule>
    <cfRule type="cellIs" dxfId="44" priority="26" operator="lessThan">
      <formula>0</formula>
    </cfRule>
  </conditionalFormatting>
  <conditionalFormatting sqref="T4:U4">
    <cfRule type="cellIs" dxfId="43" priority="23" operator="equal">
      <formula>1</formula>
    </cfRule>
    <cfRule type="cellIs" dxfId="42" priority="24" operator="equal">
      <formula>0</formula>
    </cfRule>
  </conditionalFormatting>
  <conditionalFormatting sqref="C4">
    <cfRule type="cellIs" dxfId="41" priority="21" stopIfTrue="1" operator="equal">
      <formula>"Threat"</formula>
    </cfRule>
    <cfRule type="cellIs" dxfId="40" priority="22" stopIfTrue="1" operator="equal">
      <formula>"Opportunity"</formula>
    </cfRule>
  </conditionalFormatting>
  <conditionalFormatting sqref="T5:U5">
    <cfRule type="cellIs" dxfId="39" priority="19" operator="greaterThan">
      <formula>1</formula>
    </cfRule>
    <cfRule type="cellIs" dxfId="38" priority="20" operator="lessThan">
      <formula>0</formula>
    </cfRule>
  </conditionalFormatting>
  <conditionalFormatting sqref="T5:U5">
    <cfRule type="cellIs" dxfId="37" priority="17" operator="equal">
      <formula>1</formula>
    </cfRule>
    <cfRule type="cellIs" dxfId="36" priority="18" operator="equal">
      <formula>0</formula>
    </cfRule>
  </conditionalFormatting>
  <conditionalFormatting sqref="C5">
    <cfRule type="cellIs" dxfId="35" priority="15" stopIfTrue="1" operator="equal">
      <formula>"Threat"</formula>
    </cfRule>
    <cfRule type="cellIs" dxfId="34" priority="16" stopIfTrue="1" operator="equal">
      <formula>"Opportunity"</formula>
    </cfRule>
  </conditionalFormatting>
  <conditionalFormatting sqref="V5">
    <cfRule type="cellIs" dxfId="33" priority="13" operator="greaterThan">
      <formula>1</formula>
    </cfRule>
    <cfRule type="cellIs" dxfId="32" priority="14" operator="lessThan">
      <formula>0</formula>
    </cfRule>
  </conditionalFormatting>
  <conditionalFormatting sqref="C6">
    <cfRule type="cellIs" dxfId="31" priority="7" stopIfTrue="1" operator="equal">
      <formula>"Threat"</formula>
    </cfRule>
    <cfRule type="cellIs" dxfId="30" priority="8" stopIfTrue="1" operator="equal">
      <formula>"Opportunity"</formula>
    </cfRule>
  </conditionalFormatting>
  <conditionalFormatting sqref="T6:V6">
    <cfRule type="cellIs" dxfId="29" priority="11" operator="greaterThan">
      <formula>1</formula>
    </cfRule>
    <cfRule type="cellIs" dxfId="28" priority="12" operator="lessThan">
      <formula>0</formula>
    </cfRule>
  </conditionalFormatting>
  <conditionalFormatting sqref="T6:U6">
    <cfRule type="cellIs" dxfId="27" priority="9" operator="equal">
      <formula>1</formula>
    </cfRule>
    <cfRule type="cellIs" dxfId="26" priority="10" operator="equal">
      <formula>0</formula>
    </cfRule>
  </conditionalFormatting>
  <dataValidations count="2">
    <dataValidation type="list" allowBlank="1" showInputMessage="1" showErrorMessage="1" sqref="C4:C6">
      <formula1>"Threat,Opportunity"</formula1>
    </dataValidation>
    <dataValidation type="list" allowBlank="1" showInputMessage="1" showErrorMessage="1" sqref="H4:L6">
      <formula1>"VH,H,M,L,VL,N"</formula1>
    </dataValidation>
  </dataValidations>
  <hyperlinks>
    <hyperlink ref="B4" r:id="rId1" display="http://mu2e-docdb.fnal.gov:8080/cgi-bin/ShowDocument?docid=4225"/>
    <hyperlink ref="B5" r:id="rId2" display="http://mu2e-docdb.fnal.gov:8080/cgi-bin/ShowDocument?docid=3367"/>
    <hyperlink ref="B6" r:id="rId3" display="http://mu2e-docdb.fnal.gov:8080/cgi-bin/ShowDocument?docid=3372"/>
  </hyperlink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O44" sqref="O44"/>
    </sheetView>
  </sheetViews>
  <sheetFormatPr defaultColWidth="11.42578125" defaultRowHeight="15" x14ac:dyDescent="0.25"/>
  <cols>
    <col min="1" max="1" width="22" customWidth="1"/>
  </cols>
  <sheetData>
    <row r="2" spans="1:2" x14ac:dyDescent="0.25">
      <c r="A2" t="s">
        <v>430</v>
      </c>
      <c r="B2">
        <v>30</v>
      </c>
    </row>
    <row r="3" spans="1:2" x14ac:dyDescent="0.25">
      <c r="A3" t="s">
        <v>431</v>
      </c>
      <c r="B3">
        <v>25</v>
      </c>
    </row>
    <row r="4" spans="1:2" x14ac:dyDescent="0.25">
      <c r="A4" t="s">
        <v>432</v>
      </c>
      <c r="B4">
        <v>13</v>
      </c>
    </row>
    <row r="5" spans="1:2" x14ac:dyDescent="0.25">
      <c r="A5" t="s">
        <v>253</v>
      </c>
      <c r="B5">
        <v>36</v>
      </c>
    </row>
    <row r="6" spans="1:2" x14ac:dyDescent="0.25">
      <c r="A6" t="s">
        <v>433</v>
      </c>
      <c r="B6">
        <v>8</v>
      </c>
    </row>
  </sheetData>
  <customSheetViews>
    <customSheetView guid="{8AF944F7-C3D1-6E48-8544-F246EE5D8D9B}">
      <selection activeCell="H48" sqref="H48"/>
      <pageMargins left="0.7" right="0.7" top="0.75" bottom="0.75" header="0.3" footer="0.3"/>
    </customSheetView>
    <customSheetView guid="{2B075AC7-DBBC-D945-A93B-024C897F18C8}">
      <selection activeCell="H48" sqref="H48"/>
      <pageMargins left="0.7" right="0.7" top="0.75" bottom="0.75" header="0.3" footer="0.3"/>
    </customSheetView>
    <customSheetView guid="{7D136558-6337-4481-BB09-697594446B4E}">
      <selection activeCell="H48" sqref="H48"/>
      <pageMargins left="0.7" right="0.7" top="0.75" bottom="0.75" header="0.3" footer="0.3"/>
    </customSheetView>
  </customSheetView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Change log</vt:lpstr>
      <vt:lpstr>RISK REGISTER</vt:lpstr>
      <vt:lpstr>Risk Dollars per year</vt:lpstr>
      <vt:lpstr>Retired risks</vt:lpstr>
      <vt:lpstr>Transfered Risk Events</vt:lpstr>
      <vt:lpstr>Realized Risk events</vt:lpstr>
      <vt:lpstr>Risk Mapping</vt:lpstr>
      <vt:lpstr>Deleted Items</vt:lpstr>
      <vt:lpstr>Chart</vt:lpstr>
      <vt:lpstr>Sheet2</vt:lpstr>
      <vt:lpstr>Sheet3</vt:lpstr>
      <vt:lpstr>'Realized Risk events'!Print_Area</vt:lpstr>
      <vt:lpstr>'Retired risks'!Print_Area</vt:lpstr>
      <vt:lpstr>'RISK REGISTER'!Print_Area</vt:lpstr>
    </vt:vector>
  </TitlesOfParts>
  <Company>Fermilab | Accelerator Division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Dinnon</dc:creator>
  <cp:lastModifiedBy>Mike Dinnon x3254,2384 14089N</cp:lastModifiedBy>
  <cp:lastPrinted>2014-09-19T16:59:56Z</cp:lastPrinted>
  <dcterms:created xsi:type="dcterms:W3CDTF">2012-07-23T13:40:06Z</dcterms:created>
  <dcterms:modified xsi:type="dcterms:W3CDTF">2015-09-24T12:06:22Z</dcterms:modified>
</cp:coreProperties>
</file>