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jects\Mu2e\external beamline\Independent design review Oct 6&amp;7\"/>
    </mc:Choice>
  </mc:AlternateContent>
  <bookViews>
    <workbookView xWindow="30" yWindow="165" windowWidth="23520" windowHeight="11355" tabRatio="218"/>
  </bookViews>
  <sheets>
    <sheet name="Power Supplies" sheetId="1" r:id="rId1"/>
    <sheet name="Costing Summary" sheetId="2" r:id="rId2"/>
  </sheets>
  <calcPr calcId="152511"/>
</workbook>
</file>

<file path=xl/calcChain.xml><?xml version="1.0" encoding="utf-8"?>
<calcChain xmlns="http://schemas.openxmlformats.org/spreadsheetml/2006/main">
  <c r="AP58" i="1" l="1"/>
  <c r="AP57" i="1"/>
  <c r="AP56" i="1"/>
  <c r="AP55" i="1"/>
  <c r="AP54" i="1"/>
  <c r="AP53" i="1"/>
  <c r="AP52" i="1"/>
  <c r="AP51" i="1"/>
  <c r="AP50" i="1"/>
  <c r="AP49" i="1"/>
  <c r="AP46" i="1"/>
  <c r="AP45" i="1"/>
  <c r="AP44" i="1"/>
  <c r="AP43" i="1"/>
  <c r="AP42" i="1"/>
  <c r="AP41" i="1"/>
  <c r="AP40" i="1"/>
  <c r="AP39" i="1"/>
  <c r="AP38" i="1"/>
  <c r="AP37" i="1"/>
  <c r="AJ19" i="1"/>
  <c r="M54" i="1"/>
  <c r="M56" i="1"/>
  <c r="M28" i="1" l="1"/>
  <c r="M22" i="1"/>
  <c r="BD18" i="1"/>
  <c r="BC18" i="1"/>
  <c r="AY47" i="1"/>
  <c r="AX47" i="1"/>
  <c r="AP69" i="1"/>
  <c r="AO69" i="1"/>
  <c r="AN69" i="1"/>
  <c r="AM67" i="1"/>
  <c r="AN20" i="1" l="1"/>
  <c r="AN21" i="1"/>
  <c r="AN22" i="1"/>
  <c r="AN23" i="1"/>
  <c r="AN24" i="1"/>
  <c r="AN25" i="1"/>
  <c r="AN26" i="1"/>
  <c r="AX37" i="1"/>
  <c r="AX38" i="1"/>
  <c r="AX39" i="1"/>
  <c r="AX40" i="1"/>
  <c r="AY37" i="1"/>
  <c r="AY38" i="1"/>
  <c r="AY39" i="1"/>
  <c r="AY40" i="1"/>
  <c r="M58" i="1"/>
  <c r="M57" i="1"/>
  <c r="M55" i="1"/>
  <c r="M49" i="1"/>
  <c r="M46" i="1"/>
  <c r="M45" i="1"/>
  <c r="M44" i="1"/>
  <c r="M43" i="1"/>
  <c r="M42" i="1"/>
  <c r="M41" i="1"/>
  <c r="M40" i="1"/>
  <c r="M39" i="1"/>
  <c r="M38" i="1"/>
  <c r="M37" i="1"/>
  <c r="M26" i="1"/>
  <c r="M25" i="1"/>
  <c r="M24" i="1"/>
  <c r="M23" i="1"/>
  <c r="M34" i="1"/>
  <c r="M33" i="1"/>
  <c r="M32" i="1"/>
  <c r="M31" i="1"/>
  <c r="M30" i="1"/>
  <c r="M29" i="1"/>
  <c r="M51" i="1" l="1"/>
  <c r="N46" i="1"/>
  <c r="P46" i="1"/>
  <c r="Q46" i="1"/>
  <c r="P45" i="1"/>
  <c r="Q45" i="1"/>
  <c r="V46" i="1"/>
  <c r="Y46" i="1" s="1"/>
  <c r="AF46" i="1"/>
  <c r="AJ46" i="1"/>
  <c r="AK46" i="1"/>
  <c r="AN46" i="1"/>
  <c r="AO46" i="1"/>
  <c r="V44" i="1"/>
  <c r="Y44" i="1" s="1"/>
  <c r="AF44" i="1"/>
  <c r="AJ44" i="1"/>
  <c r="AK44" i="1"/>
  <c r="AN44" i="1"/>
  <c r="AO44" i="1"/>
  <c r="V45" i="1"/>
  <c r="Y45" i="1" s="1"/>
  <c r="AF45" i="1"/>
  <c r="AJ45" i="1"/>
  <c r="AK45" i="1"/>
  <c r="AN45" i="1"/>
  <c r="AO45" i="1"/>
  <c r="AO37" i="1"/>
  <c r="AN37" i="1"/>
  <c r="AK37" i="1"/>
  <c r="AJ37" i="1"/>
  <c r="AF37" i="1"/>
  <c r="V37" i="1"/>
  <c r="Y37" i="1" s="1"/>
  <c r="AO38" i="1"/>
  <c r="AN38" i="1"/>
  <c r="AK38" i="1"/>
  <c r="AJ38" i="1"/>
  <c r="AF38" i="1"/>
  <c r="V38" i="1"/>
  <c r="Y38" i="1" s="1"/>
  <c r="AW38" i="1" s="1"/>
  <c r="AO39" i="1"/>
  <c r="AN39" i="1"/>
  <c r="AK39" i="1"/>
  <c r="AJ39" i="1"/>
  <c r="AF39" i="1"/>
  <c r="Y39" i="1"/>
  <c r="AW39" i="1" s="1"/>
  <c r="V39" i="1"/>
  <c r="AO40" i="1"/>
  <c r="AN40" i="1"/>
  <c r="AK40" i="1"/>
  <c r="AJ40" i="1"/>
  <c r="AF40" i="1"/>
  <c r="V40" i="1"/>
  <c r="Y40" i="1" s="1"/>
  <c r="AW40" i="1" s="1"/>
  <c r="AO34" i="1"/>
  <c r="AN34" i="1"/>
  <c r="AK34" i="1"/>
  <c r="AJ34" i="1"/>
  <c r="AF34" i="1"/>
  <c r="V34" i="1"/>
  <c r="Y34" i="1" s="1"/>
  <c r="R45" i="1" l="1"/>
  <c r="R46" i="1"/>
  <c r="J44" i="1"/>
  <c r="AX44" i="1" s="1"/>
  <c r="AG44" i="1"/>
  <c r="J45" i="1"/>
  <c r="L45" i="1" s="1"/>
  <c r="AG45" i="1"/>
  <c r="J46" i="1"/>
  <c r="AW46" i="1"/>
  <c r="AG46" i="1"/>
  <c r="K44" i="1"/>
  <c r="AY44" i="1" s="1"/>
  <c r="L44" i="1"/>
  <c r="AW45" i="1"/>
  <c r="AW44" i="1"/>
  <c r="AW37" i="1"/>
  <c r="J37" i="1"/>
  <c r="AG37" i="1"/>
  <c r="AG38" i="1"/>
  <c r="J38" i="1"/>
  <c r="AG39" i="1"/>
  <c r="J39" i="1"/>
  <c r="AG40" i="1"/>
  <c r="J40" i="1"/>
  <c r="AG34" i="1"/>
  <c r="AW34" i="1"/>
  <c r="J34" i="1"/>
  <c r="M53" i="1"/>
  <c r="M52" i="1"/>
  <c r="M50" i="1"/>
  <c r="M21" i="1"/>
  <c r="M20" i="1"/>
  <c r="M19" i="1"/>
  <c r="K45" i="1" l="1"/>
  <c r="AY45" i="1"/>
  <c r="K46" i="1"/>
  <c r="AX46" i="1" s="1"/>
  <c r="L46" i="1"/>
  <c r="N44" i="1"/>
  <c r="T44" i="1" s="1"/>
  <c r="Q44" i="1"/>
  <c r="P44" i="1"/>
  <c r="K37" i="1"/>
  <c r="P37" i="1" s="1"/>
  <c r="L37" i="1"/>
  <c r="K38" i="1"/>
  <c r="P38" i="1" s="1"/>
  <c r="L38" i="1"/>
  <c r="K39" i="1"/>
  <c r="P39" i="1" s="1"/>
  <c r="L39" i="1"/>
  <c r="K40" i="1"/>
  <c r="P40" i="1" s="1"/>
  <c r="L40" i="1"/>
  <c r="AY34" i="1"/>
  <c r="L34" i="1"/>
  <c r="K34" i="1"/>
  <c r="P34" i="1" s="1"/>
  <c r="AK58" i="1"/>
  <c r="AK56" i="1"/>
  <c r="AK22" i="1"/>
  <c r="V50" i="1"/>
  <c r="Y50" i="1" s="1"/>
  <c r="AW50" i="1" s="1"/>
  <c r="AF50" i="1"/>
  <c r="V51" i="1"/>
  <c r="Y51" i="1" s="1"/>
  <c r="AW51" i="1" s="1"/>
  <c r="AF51" i="1"/>
  <c r="V52" i="1"/>
  <c r="Y52" i="1" s="1"/>
  <c r="AW52" i="1" s="1"/>
  <c r="AF52" i="1"/>
  <c r="V53" i="1"/>
  <c r="Y53" i="1" s="1"/>
  <c r="AW53" i="1" s="1"/>
  <c r="AF53" i="1"/>
  <c r="V54" i="1"/>
  <c r="Y54" i="1" s="1"/>
  <c r="AW54" i="1" s="1"/>
  <c r="AF54" i="1"/>
  <c r="V55" i="1"/>
  <c r="Y55" i="1" s="1"/>
  <c r="AW55" i="1" s="1"/>
  <c r="AF55" i="1"/>
  <c r="V56" i="1"/>
  <c r="Y56" i="1" s="1"/>
  <c r="AW56" i="1" s="1"/>
  <c r="AF56" i="1"/>
  <c r="V57" i="1"/>
  <c r="Y57" i="1" s="1"/>
  <c r="AW57" i="1" s="1"/>
  <c r="AF57" i="1"/>
  <c r="V58" i="1"/>
  <c r="Y58" i="1" s="1"/>
  <c r="AW58" i="1" s="1"/>
  <c r="AF58" i="1"/>
  <c r="V49" i="1"/>
  <c r="Y49" i="1" s="1"/>
  <c r="AW49" i="1" s="1"/>
  <c r="AF49" i="1"/>
  <c r="V81" i="1"/>
  <c r="W81" i="1" s="1"/>
  <c r="AO56" i="1"/>
  <c r="AN56" i="1"/>
  <c r="AJ56" i="1"/>
  <c r="M88" i="1"/>
  <c r="P88" i="1" s="1"/>
  <c r="M89" i="1"/>
  <c r="P89" i="1" s="1"/>
  <c r="M78" i="1"/>
  <c r="P78" i="1" s="1"/>
  <c r="M79" i="1"/>
  <c r="P79" i="1" s="1"/>
  <c r="M80" i="1"/>
  <c r="P80" i="1" s="1"/>
  <c r="M81" i="1"/>
  <c r="P81" i="1" s="1"/>
  <c r="M82" i="1"/>
  <c r="P82" i="1" s="1"/>
  <c r="M83" i="1"/>
  <c r="P83" i="1" s="1"/>
  <c r="AE76" i="1"/>
  <c r="AE77" i="1"/>
  <c r="AE78" i="1"/>
  <c r="AE79" i="1"/>
  <c r="AE80" i="1"/>
  <c r="AE81" i="1"/>
  <c r="AE82" i="1"/>
  <c r="AE83" i="1"/>
  <c r="AE84" i="1"/>
  <c r="V76" i="1"/>
  <c r="V77" i="1"/>
  <c r="V78" i="1"/>
  <c r="V22" i="1"/>
  <c r="Y22" i="1" s="1"/>
  <c r="AF41" i="1"/>
  <c r="AF42" i="1"/>
  <c r="AF43" i="1"/>
  <c r="V41" i="1"/>
  <c r="Y41" i="1" s="1"/>
  <c r="AW41" i="1" s="1"/>
  <c r="AJ41" i="1"/>
  <c r="AK41" i="1"/>
  <c r="AN41" i="1"/>
  <c r="AO41" i="1"/>
  <c r="V43" i="1"/>
  <c r="Y43" i="1" s="1"/>
  <c r="AW43" i="1" s="1"/>
  <c r="AJ43" i="1"/>
  <c r="AK43" i="1"/>
  <c r="AN43" i="1"/>
  <c r="AO43" i="1"/>
  <c r="V42" i="1"/>
  <c r="Y42" i="1" s="1"/>
  <c r="AW42" i="1" s="1"/>
  <c r="AO42" i="1"/>
  <c r="AN42" i="1"/>
  <c r="AK42" i="1"/>
  <c r="AJ42" i="1"/>
  <c r="V20" i="1"/>
  <c r="Y20" i="1" s="1"/>
  <c r="AW20" i="1" s="1"/>
  <c r="AO20" i="1"/>
  <c r="AK20" i="1"/>
  <c r="AJ20" i="1"/>
  <c r="AF20" i="1"/>
  <c r="C23" i="2"/>
  <c r="AN19" i="1"/>
  <c r="AN28" i="1"/>
  <c r="AN29" i="1"/>
  <c r="AN30" i="1"/>
  <c r="AN31" i="1"/>
  <c r="AN32" i="1"/>
  <c r="AN33" i="1"/>
  <c r="AN49" i="1"/>
  <c r="AN50" i="1"/>
  <c r="AN51" i="1"/>
  <c r="AN52" i="1"/>
  <c r="AN53" i="1"/>
  <c r="AN54" i="1"/>
  <c r="AN55" i="1"/>
  <c r="AN58" i="1"/>
  <c r="AN57" i="1"/>
  <c r="AO19" i="1"/>
  <c r="AO21" i="1"/>
  <c r="AO23" i="1"/>
  <c r="AO24" i="1"/>
  <c r="AO25" i="1"/>
  <c r="AO26" i="1"/>
  <c r="AO22" i="1"/>
  <c r="AO28" i="1"/>
  <c r="AO29" i="1"/>
  <c r="AO30" i="1"/>
  <c r="AO31" i="1"/>
  <c r="AO32" i="1"/>
  <c r="AO33" i="1"/>
  <c r="AO49" i="1"/>
  <c r="AO50" i="1"/>
  <c r="AO51" i="1"/>
  <c r="AO52" i="1"/>
  <c r="AO53" i="1"/>
  <c r="AO54" i="1"/>
  <c r="AO55" i="1"/>
  <c r="AO58" i="1"/>
  <c r="AO57" i="1"/>
  <c r="AJ21" i="1"/>
  <c r="AJ23" i="1"/>
  <c r="AJ24" i="1"/>
  <c r="AJ25" i="1"/>
  <c r="AJ26" i="1"/>
  <c r="AJ22" i="1"/>
  <c r="AJ28" i="1"/>
  <c r="AJ29" i="1"/>
  <c r="AJ30" i="1"/>
  <c r="AJ31" i="1"/>
  <c r="AJ32" i="1"/>
  <c r="AJ33" i="1"/>
  <c r="AJ49" i="1"/>
  <c r="AJ50" i="1"/>
  <c r="AJ51" i="1"/>
  <c r="AJ52" i="1"/>
  <c r="AJ53" i="1"/>
  <c r="AJ54" i="1"/>
  <c r="AJ55" i="1"/>
  <c r="AJ58" i="1"/>
  <c r="AJ57" i="1"/>
  <c r="C15" i="2"/>
  <c r="C14" i="2"/>
  <c r="AK50" i="1"/>
  <c r="AK51" i="1"/>
  <c r="AK52" i="1"/>
  <c r="AK53" i="1"/>
  <c r="AK54" i="1"/>
  <c r="AK49" i="1"/>
  <c r="V19" i="1"/>
  <c r="Y19" i="1" s="1"/>
  <c r="AW19" i="1" s="1"/>
  <c r="V21" i="1"/>
  <c r="Y21" i="1" s="1"/>
  <c r="AW21" i="1" s="1"/>
  <c r="V23" i="1"/>
  <c r="Y23" i="1" s="1"/>
  <c r="AW23" i="1" s="1"/>
  <c r="V24" i="1"/>
  <c r="Y24" i="1" s="1"/>
  <c r="AW24" i="1" s="1"/>
  <c r="V25" i="1"/>
  <c r="Y25" i="1" s="1"/>
  <c r="V26" i="1"/>
  <c r="Y26" i="1" s="1"/>
  <c r="V28" i="1"/>
  <c r="Y28" i="1" s="1"/>
  <c r="V29" i="1"/>
  <c r="Y29" i="1" s="1"/>
  <c r="AW29" i="1" s="1"/>
  <c r="V30" i="1"/>
  <c r="Y30" i="1" s="1"/>
  <c r="AW30" i="1" s="1"/>
  <c r="V31" i="1"/>
  <c r="Y31" i="1" s="1"/>
  <c r="V32" i="1"/>
  <c r="Y32" i="1" s="1"/>
  <c r="V33" i="1"/>
  <c r="Y33" i="1" s="1"/>
  <c r="AW33" i="1" s="1"/>
  <c r="AF19" i="1"/>
  <c r="AF21" i="1"/>
  <c r="AF23" i="1"/>
  <c r="AF24" i="1"/>
  <c r="AF25" i="1"/>
  <c r="AF26" i="1"/>
  <c r="AF22" i="1"/>
  <c r="AF28" i="1"/>
  <c r="AF29" i="1"/>
  <c r="AF30" i="1"/>
  <c r="AF31" i="1"/>
  <c r="AF32" i="1"/>
  <c r="AF33" i="1"/>
  <c r="BF18" i="1"/>
  <c r="AK19" i="1"/>
  <c r="AK21" i="1"/>
  <c r="AK23" i="1"/>
  <c r="AK24" i="1"/>
  <c r="AK25" i="1"/>
  <c r="AK26" i="1"/>
  <c r="AK28" i="1"/>
  <c r="AK29" i="1"/>
  <c r="AK30" i="1"/>
  <c r="AK31" i="1"/>
  <c r="AK32" i="1"/>
  <c r="AK33" i="1"/>
  <c r="AK55" i="1"/>
  <c r="AK57" i="1"/>
  <c r="V82" i="1"/>
  <c r="AP84" i="1"/>
  <c r="AP83" i="1"/>
  <c r="AP82" i="1"/>
  <c r="AP81" i="1"/>
  <c r="AP80" i="1"/>
  <c r="AP79" i="1"/>
  <c r="AP78" i="1"/>
  <c r="AP77" i="1"/>
  <c r="AP76" i="1"/>
  <c r="V83" i="1"/>
  <c r="AJ64" i="1" l="1"/>
  <c r="AJ65" i="1" s="1"/>
  <c r="AK64" i="1"/>
  <c r="AK65" i="1" s="1"/>
  <c r="AX45" i="1"/>
  <c r="N45" i="1"/>
  <c r="T45" i="1" s="1"/>
  <c r="N40" i="1"/>
  <c r="T40" i="1" s="1"/>
  <c r="X40" i="1" s="1"/>
  <c r="Q39" i="1"/>
  <c r="R39" i="1" s="1"/>
  <c r="AP34" i="1"/>
  <c r="Q38" i="1"/>
  <c r="R38" i="1" s="1"/>
  <c r="Q40" i="1"/>
  <c r="R40" i="1" s="1"/>
  <c r="R34" i="1"/>
  <c r="Q34" i="1"/>
  <c r="N38" i="1"/>
  <c r="T38" i="1" s="1"/>
  <c r="AS38" i="1" s="1"/>
  <c r="T46" i="1"/>
  <c r="AY46" i="1"/>
  <c r="X44" i="1"/>
  <c r="AS44" i="1"/>
  <c r="AT44" i="1" s="1"/>
  <c r="AU44" i="1" s="1"/>
  <c r="R44" i="1"/>
  <c r="Q37" i="1"/>
  <c r="R37" i="1" s="1"/>
  <c r="N37" i="1"/>
  <c r="T37" i="1" s="1"/>
  <c r="N39" i="1"/>
  <c r="T39" i="1" s="1"/>
  <c r="AS40" i="1"/>
  <c r="N34" i="1"/>
  <c r="T34" i="1" s="1"/>
  <c r="AX34" i="1"/>
  <c r="AW31" i="1"/>
  <c r="J31" i="1"/>
  <c r="L31" i="1" s="1"/>
  <c r="AG31" i="1"/>
  <c r="AW32" i="1"/>
  <c r="AG32" i="1"/>
  <c r="J32" i="1"/>
  <c r="L32" i="1" s="1"/>
  <c r="AE86" i="1"/>
  <c r="AG19" i="1"/>
  <c r="AW25" i="1"/>
  <c r="AG25" i="1"/>
  <c r="J25" i="1"/>
  <c r="AW22" i="1"/>
  <c r="J22" i="1"/>
  <c r="AW28" i="1"/>
  <c r="J28" i="1"/>
  <c r="L28" i="1" s="1"/>
  <c r="AG28" i="1"/>
  <c r="AP21" i="1"/>
  <c r="AP26" i="1"/>
  <c r="AP30" i="1"/>
  <c r="AP24" i="1"/>
  <c r="AP28" i="1"/>
  <c r="AP32" i="1"/>
  <c r="AP19" i="1"/>
  <c r="AP25" i="1"/>
  <c r="AP29" i="1"/>
  <c r="AP33" i="1"/>
  <c r="AP20" i="1"/>
  <c r="AP23" i="1"/>
  <c r="AP22" i="1"/>
  <c r="AP31" i="1"/>
  <c r="AW26" i="1"/>
  <c r="J26" i="1"/>
  <c r="AY26" i="1" s="1"/>
  <c r="AG21" i="1"/>
  <c r="J19" i="1"/>
  <c r="L19" i="1" s="1"/>
  <c r="AF7" i="1"/>
  <c r="V84" i="1"/>
  <c r="AG30" i="1"/>
  <c r="J57" i="1"/>
  <c r="K57" i="1" s="1"/>
  <c r="AX57" i="1" s="1"/>
  <c r="J53" i="1"/>
  <c r="W79" i="1"/>
  <c r="J30" i="1"/>
  <c r="J24" i="1"/>
  <c r="AG24" i="1"/>
  <c r="J33" i="1"/>
  <c r="AG33" i="1"/>
  <c r="AP86" i="1"/>
  <c r="AG29" i="1"/>
  <c r="AG26" i="1"/>
  <c r="AG23" i="1"/>
  <c r="J29" i="1"/>
  <c r="J23" i="1"/>
  <c r="J21" i="1"/>
  <c r="AG20" i="1"/>
  <c r="J20" i="1"/>
  <c r="AF6" i="1"/>
  <c r="J41" i="1"/>
  <c r="AG41" i="1"/>
  <c r="J58" i="1"/>
  <c r="AG58" i="1"/>
  <c r="J55" i="1"/>
  <c r="AG55" i="1"/>
  <c r="AG42" i="1"/>
  <c r="J42" i="1"/>
  <c r="J43" i="1"/>
  <c r="AG43" i="1"/>
  <c r="J51" i="1"/>
  <c r="AG51" i="1"/>
  <c r="AG49" i="1"/>
  <c r="AG56" i="1"/>
  <c r="J54" i="1"/>
  <c r="AG52" i="1"/>
  <c r="AG50" i="1"/>
  <c r="AG22" i="1"/>
  <c r="J49" i="1"/>
  <c r="AG57" i="1"/>
  <c r="J56" i="1"/>
  <c r="AG54" i="1"/>
  <c r="AG53" i="1"/>
  <c r="J52" i="1"/>
  <c r="J50" i="1"/>
  <c r="AS45" i="1" l="1"/>
  <c r="AT45" i="1" s="1"/>
  <c r="AU45" i="1" s="1"/>
  <c r="X45" i="1"/>
  <c r="AT40" i="1"/>
  <c r="AU40" i="1" s="1"/>
  <c r="X38" i="1"/>
  <c r="AV38" i="1" s="1"/>
  <c r="AI45" i="1"/>
  <c r="AI44" i="1"/>
  <c r="AI34" i="1"/>
  <c r="AI46" i="1"/>
  <c r="AI38" i="1"/>
  <c r="AI40" i="1"/>
  <c r="AI37" i="1"/>
  <c r="AI39" i="1"/>
  <c r="AS46" i="1"/>
  <c r="AT46" i="1" s="1"/>
  <c r="AU46" i="1" s="1"/>
  <c r="X46" i="1"/>
  <c r="Z44" i="1"/>
  <c r="AV44" i="1"/>
  <c r="AS37" i="1"/>
  <c r="X37" i="1"/>
  <c r="Z38" i="1"/>
  <c r="AT38" i="1"/>
  <c r="AU38" i="1" s="1"/>
  <c r="AS39" i="1"/>
  <c r="X39" i="1"/>
  <c r="AV40" i="1"/>
  <c r="Z40" i="1"/>
  <c r="X34" i="1"/>
  <c r="AS34" i="1"/>
  <c r="AT34" i="1" s="1"/>
  <c r="AU34" i="1" s="1"/>
  <c r="AI51" i="1"/>
  <c r="AY32" i="1"/>
  <c r="K32" i="1"/>
  <c r="AX32" i="1" s="1"/>
  <c r="AY28" i="1"/>
  <c r="K28" i="1"/>
  <c r="Q28" i="1" s="1"/>
  <c r="Q57" i="1"/>
  <c r="AY31" i="1"/>
  <c r="K31" i="1"/>
  <c r="AP70" i="1"/>
  <c r="L53" i="1"/>
  <c r="AY53" i="1"/>
  <c r="L57" i="1"/>
  <c r="N57" i="1" s="1"/>
  <c r="T57" i="1" s="1"/>
  <c r="AY57" i="1"/>
  <c r="AY25" i="1"/>
  <c r="K25" i="1"/>
  <c r="AX25" i="1" s="1"/>
  <c r="L25" i="1"/>
  <c r="L26" i="1"/>
  <c r="E14" i="2"/>
  <c r="D14" i="2" s="1"/>
  <c r="AO70" i="1"/>
  <c r="K53" i="1"/>
  <c r="AX53" i="1" s="1"/>
  <c r="K26" i="1"/>
  <c r="AX26" i="1" s="1"/>
  <c r="P57" i="1"/>
  <c r="AY19" i="1"/>
  <c r="AI28" i="1"/>
  <c r="K19" i="1"/>
  <c r="Q19" i="1" s="1"/>
  <c r="K22" i="1"/>
  <c r="P22" i="1" s="1"/>
  <c r="AY22" i="1"/>
  <c r="L22" i="1"/>
  <c r="K51" i="1"/>
  <c r="AX51" i="1" s="1"/>
  <c r="AY51" i="1"/>
  <c r="L51" i="1"/>
  <c r="K41" i="1"/>
  <c r="AX41" i="1" s="1"/>
  <c r="AY41" i="1"/>
  <c r="L41" i="1"/>
  <c r="K23" i="1"/>
  <c r="Q23" i="1" s="1"/>
  <c r="L23" i="1"/>
  <c r="AY23" i="1"/>
  <c r="AY56" i="1"/>
  <c r="L56" i="1"/>
  <c r="K56" i="1"/>
  <c r="Q56" i="1" s="1"/>
  <c r="AX42" i="1"/>
  <c r="L42" i="1"/>
  <c r="K42" i="1"/>
  <c r="Q42" i="1" s="1"/>
  <c r="K58" i="1"/>
  <c r="P58" i="1" s="1"/>
  <c r="AY58" i="1"/>
  <c r="L58" i="1"/>
  <c r="AI43" i="1"/>
  <c r="AI42" i="1"/>
  <c r="AI53" i="1"/>
  <c r="AI20" i="1"/>
  <c r="AI56" i="1"/>
  <c r="AI49" i="1"/>
  <c r="AI21" i="1"/>
  <c r="AI24" i="1"/>
  <c r="AI26" i="1"/>
  <c r="AI54" i="1"/>
  <c r="AI52" i="1"/>
  <c r="AI50" i="1"/>
  <c r="AI57" i="1"/>
  <c r="AI25" i="1"/>
  <c r="AI58" i="1"/>
  <c r="AI23" i="1"/>
  <c r="AI33" i="1"/>
  <c r="AI19" i="1"/>
  <c r="AI31" i="1"/>
  <c r="AI29" i="1"/>
  <c r="AI55" i="1"/>
  <c r="E15" i="2"/>
  <c r="D15" i="2" s="1"/>
  <c r="AN70" i="1"/>
  <c r="AI32" i="1"/>
  <c r="L50" i="1"/>
  <c r="AY50" i="1"/>
  <c r="K50" i="1"/>
  <c r="P50" i="1" s="1"/>
  <c r="L52" i="1"/>
  <c r="K52" i="1"/>
  <c r="AX52" i="1" s="1"/>
  <c r="AY52" i="1"/>
  <c r="L54" i="1"/>
  <c r="K54" i="1"/>
  <c r="P54" i="1" s="1"/>
  <c r="AX43" i="1"/>
  <c r="K43" i="1"/>
  <c r="Q43" i="1" s="1"/>
  <c r="L43" i="1"/>
  <c r="L55" i="1"/>
  <c r="K55" i="1"/>
  <c r="AX55" i="1" s="1"/>
  <c r="AX20" i="1"/>
  <c r="L20" i="1"/>
  <c r="K20" i="1"/>
  <c r="P20" i="1" s="1"/>
  <c r="AI30" i="1"/>
  <c r="K33" i="1"/>
  <c r="Q33" i="1" s="1"/>
  <c r="AY33" i="1"/>
  <c r="L33" i="1"/>
  <c r="K24" i="1"/>
  <c r="P24" i="1" s="1"/>
  <c r="AY24" i="1"/>
  <c r="L24" i="1"/>
  <c r="L49" i="1"/>
  <c r="K49" i="1"/>
  <c r="AX49" i="1" s="1"/>
  <c r="AY49" i="1"/>
  <c r="K21" i="1"/>
  <c r="P21" i="1" s="1"/>
  <c r="AY21" i="1"/>
  <c r="L21" i="1"/>
  <c r="K29" i="1"/>
  <c r="Q29" i="1" s="1"/>
  <c r="L29" i="1"/>
  <c r="K30" i="1"/>
  <c r="P30" i="1" s="1"/>
  <c r="AY30" i="1"/>
  <c r="L30" i="1"/>
  <c r="E7" i="2"/>
  <c r="C7" i="2" s="1"/>
  <c r="E8" i="2"/>
  <c r="D8" i="2" s="1"/>
  <c r="AI62" i="1" l="1"/>
  <c r="C22" i="2" s="1"/>
  <c r="N54" i="1"/>
  <c r="Z45" i="1"/>
  <c r="AV45" i="1"/>
  <c r="AX29" i="1"/>
  <c r="AY55" i="1"/>
  <c r="AY54" i="1"/>
  <c r="AY59" i="1" s="1"/>
  <c r="Z46" i="1"/>
  <c r="AV46" i="1"/>
  <c r="AV37" i="1"/>
  <c r="Z37" i="1"/>
  <c r="AT37" i="1"/>
  <c r="AU37" i="1" s="1"/>
  <c r="AV39" i="1"/>
  <c r="Z39" i="1"/>
  <c r="AT39" i="1"/>
  <c r="AU39" i="1" s="1"/>
  <c r="AV34" i="1"/>
  <c r="Z34" i="1"/>
  <c r="N28" i="1"/>
  <c r="T28" i="1" s="1"/>
  <c r="X28" i="1" s="1"/>
  <c r="N32" i="1"/>
  <c r="T32" i="1" s="1"/>
  <c r="X32" i="1" s="1"/>
  <c r="AV32" i="1" s="1"/>
  <c r="P32" i="1"/>
  <c r="AX30" i="1"/>
  <c r="Q32" i="1"/>
  <c r="AX28" i="1"/>
  <c r="P19" i="1"/>
  <c r="R19" i="1" s="1"/>
  <c r="N19" i="1"/>
  <c r="T19" i="1" s="1"/>
  <c r="AS19" i="1" s="1"/>
  <c r="AY29" i="1"/>
  <c r="P49" i="1"/>
  <c r="P29" i="1"/>
  <c r="R29" i="1" s="1"/>
  <c r="AX19" i="1"/>
  <c r="N42" i="1"/>
  <c r="T42" i="1" s="1"/>
  <c r="X42" i="1" s="1"/>
  <c r="P28" i="1"/>
  <c r="R28" i="1" s="1"/>
  <c r="C24" i="2"/>
  <c r="N30" i="1"/>
  <c r="T30" i="1" s="1"/>
  <c r="X30" i="1" s="1"/>
  <c r="P53" i="1"/>
  <c r="AY43" i="1"/>
  <c r="N53" i="1"/>
  <c r="T53" i="1" s="1"/>
  <c r="X53" i="1" s="1"/>
  <c r="Z53" i="1" s="1"/>
  <c r="N55" i="1"/>
  <c r="T55" i="1" s="1"/>
  <c r="X55" i="1" s="1"/>
  <c r="AX58" i="1"/>
  <c r="N56" i="1"/>
  <c r="T56" i="1" s="1"/>
  <c r="AS56" i="1" s="1"/>
  <c r="AT56" i="1" s="1"/>
  <c r="AU56" i="1" s="1"/>
  <c r="N23" i="1"/>
  <c r="T23" i="1" s="1"/>
  <c r="AS23" i="1" s="1"/>
  <c r="AT23" i="1" s="1"/>
  <c r="AU23" i="1" s="1"/>
  <c r="Q41" i="1"/>
  <c r="R57" i="1"/>
  <c r="P25" i="1"/>
  <c r="N50" i="1"/>
  <c r="T50" i="1" s="1"/>
  <c r="AS50" i="1" s="1"/>
  <c r="AT50" i="1" s="1"/>
  <c r="AU50" i="1" s="1"/>
  <c r="Q49" i="1"/>
  <c r="AY20" i="1"/>
  <c r="AY27" i="1" s="1"/>
  <c r="BB18" i="1" s="1"/>
  <c r="Q58" i="1"/>
  <c r="R58" i="1" s="1"/>
  <c r="AX56" i="1"/>
  <c r="N22" i="1"/>
  <c r="T22" i="1" s="1"/>
  <c r="X22" i="1" s="1"/>
  <c r="Z22" i="1" s="1"/>
  <c r="P31" i="1"/>
  <c r="AX31" i="1"/>
  <c r="Q31" i="1"/>
  <c r="N20" i="1"/>
  <c r="T20" i="1" s="1"/>
  <c r="AS20" i="1" s="1"/>
  <c r="AT20" i="1" s="1"/>
  <c r="AU20" i="1" s="1"/>
  <c r="N31" i="1"/>
  <c r="T31" i="1" s="1"/>
  <c r="N24" i="1"/>
  <c r="T24" i="1" s="1"/>
  <c r="AS24" i="1" s="1"/>
  <c r="AT24" i="1" s="1"/>
  <c r="AU24" i="1" s="1"/>
  <c r="AX50" i="1"/>
  <c r="P56" i="1"/>
  <c r="R56" i="1" s="1"/>
  <c r="AX33" i="1"/>
  <c r="P26" i="1"/>
  <c r="N26" i="1"/>
  <c r="T26" i="1" s="1"/>
  <c r="N29" i="1"/>
  <c r="T29" i="1" s="1"/>
  <c r="X29" i="1" s="1"/>
  <c r="P33" i="1"/>
  <c r="R33" i="1" s="1"/>
  <c r="P43" i="1"/>
  <c r="R43" i="1" s="1"/>
  <c r="Q53" i="1"/>
  <c r="AX23" i="1"/>
  <c r="Q51" i="1"/>
  <c r="AX22" i="1"/>
  <c r="Q22" i="1"/>
  <c r="R22" i="1" s="1"/>
  <c r="N25" i="1"/>
  <c r="T25" i="1" s="1"/>
  <c r="Q25" i="1"/>
  <c r="Q26" i="1"/>
  <c r="AX21" i="1"/>
  <c r="N33" i="1"/>
  <c r="T33" i="1" s="1"/>
  <c r="AS33" i="1" s="1"/>
  <c r="AT33" i="1" s="1"/>
  <c r="AU33" i="1" s="1"/>
  <c r="Q54" i="1"/>
  <c r="R54" i="1" s="1"/>
  <c r="Q50" i="1"/>
  <c r="R50" i="1" s="1"/>
  <c r="P41" i="1"/>
  <c r="D7" i="2"/>
  <c r="Q52" i="1"/>
  <c r="N21" i="1"/>
  <c r="T21" i="1" s="1"/>
  <c r="Q21" i="1"/>
  <c r="R21" i="1" s="1"/>
  <c r="AX24" i="1"/>
  <c r="Q20" i="1"/>
  <c r="R20" i="1" s="1"/>
  <c r="P55" i="1"/>
  <c r="AX54" i="1"/>
  <c r="P52" i="1"/>
  <c r="AY42" i="1"/>
  <c r="P42" i="1"/>
  <c r="R42" i="1" s="1"/>
  <c r="P23" i="1"/>
  <c r="R23" i="1" s="1"/>
  <c r="AS57" i="1"/>
  <c r="AT57" i="1" s="1"/>
  <c r="AU57" i="1" s="1"/>
  <c r="X57" i="1"/>
  <c r="Q24" i="1"/>
  <c r="R24" i="1" s="1"/>
  <c r="Q55" i="1"/>
  <c r="P51" i="1"/>
  <c r="Q30" i="1"/>
  <c r="R30" i="1" s="1"/>
  <c r="N49" i="1"/>
  <c r="T49" i="1" s="1"/>
  <c r="N43" i="1"/>
  <c r="T43" i="1" s="1"/>
  <c r="T54" i="1"/>
  <c r="N52" i="1"/>
  <c r="T52" i="1" s="1"/>
  <c r="N58" i="1"/>
  <c r="T58" i="1" s="1"/>
  <c r="N41" i="1"/>
  <c r="T41" i="1" s="1"/>
  <c r="N51" i="1"/>
  <c r="T51" i="1" s="1"/>
  <c r="AS22" i="1" l="1"/>
  <c r="AT22" i="1" s="1"/>
  <c r="AU22" i="1" s="1"/>
  <c r="X56" i="1"/>
  <c r="Z32" i="1"/>
  <c r="AS28" i="1"/>
  <c r="X19" i="1"/>
  <c r="Z19" i="1" s="1"/>
  <c r="AV22" i="1"/>
  <c r="X24" i="1"/>
  <c r="AV24" i="1" s="1"/>
  <c r="AV53" i="1"/>
  <c r="X23" i="1"/>
  <c r="Z23" i="1" s="1"/>
  <c r="AS32" i="1"/>
  <c r="AT32" i="1" s="1"/>
  <c r="AU32" i="1" s="1"/>
  <c r="R32" i="1"/>
  <c r="R49" i="1"/>
  <c r="AS42" i="1"/>
  <c r="X50" i="1"/>
  <c r="Z50" i="1" s="1"/>
  <c r="R51" i="1"/>
  <c r="R53" i="1"/>
  <c r="AS53" i="1"/>
  <c r="AT53" i="1" s="1"/>
  <c r="AU53" i="1" s="1"/>
  <c r="X20" i="1"/>
  <c r="AV20" i="1" s="1"/>
  <c r="AS55" i="1"/>
  <c r="AT55" i="1" s="1"/>
  <c r="AU55" i="1" s="1"/>
  <c r="R41" i="1"/>
  <c r="AX59" i="1"/>
  <c r="BE18" i="1" s="1"/>
  <c r="AS29" i="1"/>
  <c r="AT29" i="1" s="1"/>
  <c r="AU29" i="1" s="1"/>
  <c r="R25" i="1"/>
  <c r="X33" i="1"/>
  <c r="AV33" i="1" s="1"/>
  <c r="AS30" i="1"/>
  <c r="AT30" i="1" s="1"/>
  <c r="AU30" i="1" s="1"/>
  <c r="R26" i="1"/>
  <c r="AX27" i="1"/>
  <c r="BA18" i="1" s="1"/>
  <c r="AS31" i="1"/>
  <c r="AT31" i="1" s="1"/>
  <c r="AU31" i="1" s="1"/>
  <c r="X31" i="1"/>
  <c r="R31" i="1"/>
  <c r="X25" i="1"/>
  <c r="AS25" i="1"/>
  <c r="AT25" i="1" s="1"/>
  <c r="AU25" i="1" s="1"/>
  <c r="AS26" i="1"/>
  <c r="AT26" i="1" s="1"/>
  <c r="AU26" i="1" s="1"/>
  <c r="X26" i="1"/>
  <c r="Z57" i="1"/>
  <c r="AV57" i="1"/>
  <c r="Z56" i="1"/>
  <c r="AV56" i="1"/>
  <c r="Z55" i="1"/>
  <c r="AV55" i="1"/>
  <c r="Z42" i="1"/>
  <c r="AV42" i="1"/>
  <c r="P59" i="1"/>
  <c r="C20" i="2" s="1"/>
  <c r="Z30" i="1"/>
  <c r="AV30" i="1"/>
  <c r="Z29" i="1"/>
  <c r="AV29" i="1"/>
  <c r="Z28" i="1"/>
  <c r="AV28" i="1"/>
  <c r="R52" i="1"/>
  <c r="X21" i="1"/>
  <c r="AS21" i="1"/>
  <c r="AT21" i="1" s="1"/>
  <c r="AU21" i="1" s="1"/>
  <c r="X41" i="1"/>
  <c r="AS41" i="1"/>
  <c r="AT19" i="1"/>
  <c r="Q59" i="1"/>
  <c r="C21" i="2" s="1"/>
  <c r="AT28" i="1"/>
  <c r="AS58" i="1"/>
  <c r="AT58" i="1" s="1"/>
  <c r="AU58" i="1" s="1"/>
  <c r="X58" i="1"/>
  <c r="AS52" i="1"/>
  <c r="AT52" i="1" s="1"/>
  <c r="AU52" i="1" s="1"/>
  <c r="X52" i="1"/>
  <c r="AS49" i="1"/>
  <c r="X49" i="1"/>
  <c r="X43" i="1"/>
  <c r="AS43" i="1"/>
  <c r="AT43" i="1" s="1"/>
  <c r="AU43" i="1" s="1"/>
  <c r="AS51" i="1"/>
  <c r="X51" i="1"/>
  <c r="X54" i="1"/>
  <c r="AS54" i="1"/>
  <c r="AT54" i="1" s="1"/>
  <c r="AU54" i="1" s="1"/>
  <c r="R55" i="1"/>
  <c r="AT42" i="1" l="1"/>
  <c r="AU42" i="1" s="1"/>
  <c r="AS47" i="1"/>
  <c r="BC47" i="1" s="1"/>
  <c r="R62" i="1"/>
  <c r="AV19" i="1"/>
  <c r="Z24" i="1"/>
  <c r="AV50" i="1"/>
  <c r="AV23" i="1"/>
  <c r="Z33" i="1"/>
  <c r="Z20" i="1"/>
  <c r="Z31" i="1"/>
  <c r="AV31" i="1"/>
  <c r="AT41" i="1"/>
  <c r="Z26" i="1"/>
  <c r="AV26" i="1"/>
  <c r="AV25" i="1"/>
  <c r="Z25" i="1"/>
  <c r="Z58" i="1"/>
  <c r="AV58" i="1"/>
  <c r="Z54" i="1"/>
  <c r="AV54" i="1"/>
  <c r="Z52" i="1"/>
  <c r="AV52" i="1"/>
  <c r="Z51" i="1"/>
  <c r="AV51" i="1"/>
  <c r="Z49" i="1"/>
  <c r="AV49" i="1"/>
  <c r="Z43" i="1"/>
  <c r="AV43" i="1"/>
  <c r="C25" i="2"/>
  <c r="Z41" i="1"/>
  <c r="AV41" i="1"/>
  <c r="AS27" i="1"/>
  <c r="BC27" i="1" s="1"/>
  <c r="Z21" i="1"/>
  <c r="AV21" i="1"/>
  <c r="AU28" i="1"/>
  <c r="AU19" i="1"/>
  <c r="AU27" i="1" s="1"/>
  <c r="AT27" i="1"/>
  <c r="BC28" i="1" s="1"/>
  <c r="AT51" i="1"/>
  <c r="AU51" i="1" s="1"/>
  <c r="AT49" i="1"/>
  <c r="AS59" i="1"/>
  <c r="BC58" i="1" s="1"/>
  <c r="AU41" i="1" l="1"/>
  <c r="AU47" i="1" s="1"/>
  <c r="AT47" i="1"/>
  <c r="BC48" i="1" s="1"/>
  <c r="Z62" i="1"/>
  <c r="AU49" i="1"/>
  <c r="AU59" i="1" s="1"/>
  <c r="AT59" i="1"/>
  <c r="BC59" i="1" s="1"/>
</calcChain>
</file>

<file path=xl/comments1.xml><?xml version="1.0" encoding="utf-8"?>
<comments xmlns="http://schemas.openxmlformats.org/spreadsheetml/2006/main">
  <authors>
    <author>James A. Budlong x8480 06144N</author>
    <author>budlong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James A. Budlong x8480 06144N:</t>
        </r>
        <r>
          <rPr>
            <sz val="9"/>
            <color indexed="81"/>
            <rFont val="Tahoma"/>
            <family val="2"/>
          </rPr>
          <t xml:space="preserve">
See P/O # 623240 for reference
</t>
        </r>
      </text>
    </comment>
    <comment ref="N4" authorId="1" shapeId="0">
      <text>
        <r>
          <rPr>
            <sz val="16"/>
            <color indexed="81"/>
            <rFont val="Tahoma"/>
            <family val="2"/>
          </rPr>
          <t>From the 2013 NEC Cost book via Ryan Crawford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James A. Budlong x8480 06144N:</t>
        </r>
        <r>
          <rPr>
            <sz val="9"/>
            <color indexed="81"/>
            <rFont val="Tahoma"/>
            <family val="2"/>
          </rPr>
          <t xml:space="preserve">
Using  P/O # 623240 for reference with 4/0 @ 2.40 and 212 kcmils 
212/2 = 106 kcmils  ~ 100 kcmils or $1.20/ft</t>
        </r>
      </text>
    </comment>
    <comment ref="M19" authorId="0" shapeId="0">
      <text>
        <r>
          <rPr>
            <sz val="16"/>
            <color indexed="81"/>
            <rFont val="Tahoma"/>
            <family val="2"/>
          </rPr>
          <t>Calculation:
M4 Magnet location along beamline - M4 enclosure starting point along beamline (88') + cable length to power supply relay racks on Accumulator side of AP30 using the retired 10' stochastic cooling penetrations and then into the retired Accumulator cable trays.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0" shapeId="0">
      <text>
        <r>
          <rPr>
            <sz val="16"/>
            <color indexed="81"/>
            <rFont val="Tahoma"/>
            <family val="2"/>
          </rPr>
          <t xml:space="preserve">Calculation:
Farthest left bend dipole location along beamline - M4 enclosure starting point along beamline (88') + cable length to SCR power supplies on Delivery Ring side of AP30 (NE corner of structure) + cabling in AP30 (pentration entrance to power supply load flags)  
Note: this assumes that we will be able to use the penetrations in that area of AP30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2" authorId="0" shapeId="0">
      <text>
        <r>
          <rPr>
            <sz val="16"/>
            <color indexed="81"/>
            <rFont val="Tahoma"/>
            <family val="2"/>
          </rPr>
          <t>I need some M&amp;S in here for disconnecting, moving and reconnecting this supply from F27 to AP30.  The calculation comes to 312.2K.  How does 10% sound for the CDC contactor,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 shapeId="0">
      <text>
        <r>
          <rPr>
            <sz val="16"/>
            <color indexed="81"/>
            <rFont val="Tahoma"/>
            <family val="2"/>
          </rPr>
          <t>Calculation:
Center location of MC-1's penetrations along beamline - magnet location along beamline + MC-1 building to enclosure distance + cabling in MC-1 power supply room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41" authorId="0" shapeId="0">
      <text>
        <r>
          <rPr>
            <b/>
            <sz val="9"/>
            <color indexed="81"/>
            <rFont val="Tahoma"/>
            <charset val="1"/>
          </rPr>
          <t>I need some M&amp;S in here for disconnecting, moving and reconnecting this supply from F27 to AP30.  The calculation comes to 158.6K.  How does 10% sound?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9" authorId="0" shapeId="0">
      <text>
        <r>
          <rPr>
            <sz val="16"/>
            <color indexed="81"/>
            <rFont val="Tahoma"/>
            <family val="2"/>
          </rPr>
          <t>Calculation:
Center location of Mu2e's penetrations along beamline +/- magnet location along beamline + cabling in Mu2e which isn't 30 feet but more like 5-10 feet as the load cables come up from the penetration into the rack or special designed SCR supply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<sst xmlns="http://schemas.openxmlformats.org/spreadsheetml/2006/main" count="540" uniqueCount="293">
  <si>
    <t>Ramp Cycle Time:</t>
  </si>
  <si>
    <t>MAGNET</t>
  </si>
  <si>
    <t>#</t>
  </si>
  <si>
    <t>MAG.</t>
  </si>
  <si>
    <t>TYPE</t>
  </si>
  <si>
    <t>R/kFt</t>
  </si>
  <si>
    <t>RES.</t>
  </si>
  <si>
    <t>dI/dT</t>
  </si>
  <si>
    <t>MAGs</t>
  </si>
  <si>
    <t>IND.</t>
  </si>
  <si>
    <t>kcmil</t>
  </si>
  <si>
    <t>ohms</t>
  </si>
  <si>
    <t>(ft)</t>
  </si>
  <si>
    <t>(amps)</t>
  </si>
  <si>
    <t>(A/s)</t>
  </si>
  <si>
    <t>(volts)</t>
  </si>
  <si>
    <t>(kW)</t>
  </si>
  <si>
    <t>kVA</t>
  </si>
  <si>
    <t>Losses</t>
  </si>
  <si>
    <t>SQA</t>
  </si>
  <si>
    <t>Quad.</t>
  </si>
  <si>
    <t>Dipole</t>
  </si>
  <si>
    <t>MODEL</t>
  </si>
  <si>
    <t xml:space="preserve"> </t>
  </si>
  <si>
    <t># of
cables</t>
  </si>
  <si>
    <t>L
1-way</t>
  </si>
  <si>
    <t>Cable 
RES.</t>
  </si>
  <si>
    <t>PS
Rating</t>
  </si>
  <si>
    <t>Total
Circuit 
Res.</t>
  </si>
  <si>
    <t>Peak
Current</t>
  </si>
  <si>
    <t>Min.
Current</t>
  </si>
  <si>
    <t>Peak
VOLT.</t>
  </si>
  <si>
    <t>Peak
Power</t>
  </si>
  <si>
    <t>PS
TYPE</t>
  </si>
  <si>
    <t>Max.
Volt</t>
  </si>
  <si>
    <t>Max.
Curr.</t>
  </si>
  <si>
    <t>Cable
Type</t>
  </si>
  <si>
    <t>LOAD   CABLING</t>
  </si>
  <si>
    <t>LOAD  CHARACTERISTICS</t>
  </si>
  <si>
    <t>FEEDERS</t>
  </si>
  <si>
    <t>POWER   SUPPLY</t>
  </si>
  <si>
    <t>RMS
CURR.</t>
  </si>
  <si>
    <t>of Load losses</t>
  </si>
  <si>
    <t>M&amp;S</t>
  </si>
  <si>
    <t>per ft</t>
  </si>
  <si>
    <t>Install</t>
  </si>
  <si>
    <t>Cabling Assumptions:</t>
  </si>
  <si>
    <t>Power Supply Assumptions:</t>
  </si>
  <si>
    <t>M&amp;S
($k)</t>
  </si>
  <si>
    <t>Cable Costs</t>
  </si>
  <si>
    <t>Install
($k)</t>
  </si>
  <si>
    <t>Tot. Cir
($k)</t>
  </si>
  <si>
    <t xml:space="preserve">TOTAL CABLE COSTS ($k): </t>
  </si>
  <si>
    <t xml:space="preserve">Total Peak Power: </t>
  </si>
  <si>
    <t>kW</t>
  </si>
  <si>
    <t>Tech. 
Labor (hrs)</t>
  </si>
  <si>
    <t>Eng.
Labor
(hrs)</t>
  </si>
  <si>
    <t>Power Supply Costs</t>
  </si>
  <si>
    <t>Elect.</t>
  </si>
  <si>
    <t>PS Installation Costs</t>
  </si>
  <si>
    <t>MAGNET  LOAD</t>
  </si>
  <si>
    <t>NAME</t>
  </si>
  <si>
    <t>for SM PSs</t>
  </si>
  <si>
    <t>SM</t>
  </si>
  <si>
    <t xml:space="preserve">SM or 
SCR </t>
  </si>
  <si>
    <t>SCR</t>
  </si>
  <si>
    <t>(Voperating/Vmax) for SCR PSs</t>
  </si>
  <si>
    <t xml:space="preserve">Total PS Labor (hrs): </t>
  </si>
  <si>
    <t>Tech</t>
  </si>
  <si>
    <t>Eng</t>
  </si>
  <si>
    <t xml:space="preserve">(man-months): </t>
  </si>
  <si>
    <t xml:space="preserve">Total PS Installatiion Labor (hrs): </t>
  </si>
  <si>
    <t>Eng.</t>
  </si>
  <si>
    <t>Total PS Installation Costs, M&amp;S ($k):</t>
  </si>
  <si>
    <t>TOTAL PS COSTS, M&amp;S ($k):</t>
  </si>
  <si>
    <t>Power supply</t>
  </si>
  <si>
    <t>Rack</t>
  </si>
  <si>
    <t>480 VAC Contrls</t>
  </si>
  <si>
    <t>Inductors</t>
  </si>
  <si>
    <t>Caps and Res.</t>
  </si>
  <si>
    <t>Electrician</t>
  </si>
  <si>
    <t>TOTAL:</t>
  </si>
  <si>
    <t>($k)</t>
  </si>
  <si>
    <t>LABOR</t>
  </si>
  <si>
    <t xml:space="preserve">Assembly: </t>
  </si>
  <si>
    <t>man-weeks</t>
  </si>
  <si>
    <t xml:space="preserve">Testing: </t>
  </si>
  <si>
    <t>For a Single power supply +/- 100 ppm regulation:</t>
  </si>
  <si>
    <t>DCCT (1kamp)</t>
  </si>
  <si>
    <t>DAC</t>
  </si>
  <si>
    <t>DAC Card</t>
  </si>
  <si>
    <t>PC104</t>
  </si>
  <si>
    <t>PLC</t>
  </si>
  <si>
    <t>Reg. Chassis</t>
  </si>
  <si>
    <t>PS Int. Chassis</t>
  </si>
  <si>
    <t>LVPSs</t>
  </si>
  <si>
    <t>Back Plane</t>
  </si>
  <si>
    <t>Engineering Estimate</t>
  </si>
  <si>
    <t>Total (M&amp;S):</t>
  </si>
  <si>
    <t xml:space="preserve">Installation: </t>
  </si>
  <si>
    <t>For a Single power supply +/- 300 ppm regulation:</t>
  </si>
  <si>
    <t>LEM (1 kamp)</t>
  </si>
  <si>
    <t>Total:</t>
  </si>
  <si>
    <t>For a single Power System, Rack and Filter</t>
  </si>
  <si>
    <t>Magna-Power</t>
  </si>
  <si>
    <t>Manufacturer</t>
  </si>
  <si>
    <t>Volts</t>
  </si>
  <si>
    <t>Amps</t>
  </si>
  <si>
    <t>Power</t>
  </si>
  <si>
    <t>Cost</t>
  </si>
  <si>
    <t>$/watt</t>
  </si>
  <si>
    <t>$k</t>
  </si>
  <si>
    <t>Sorenson (SG)</t>
  </si>
  <si>
    <t>Lambda (GEN)</t>
  </si>
  <si>
    <t xml:space="preserve">  late 2010, early 2011 reqs</t>
  </si>
  <si>
    <t>SM POWER SUPPLY QUOTES</t>
  </si>
  <si>
    <t>ft</t>
  </si>
  <si>
    <t>500 kcmil:</t>
  </si>
  <si>
    <t>100 kcmil:</t>
  </si>
  <si>
    <t xml:space="preserve">Cabling in Service Building: </t>
  </si>
  <si>
    <t xml:space="preserve">Detector Hall Duct Location: </t>
  </si>
  <si>
    <t>Subtotal:</t>
  </si>
  <si>
    <t>Elect.
Labor
(hrs)</t>
  </si>
  <si>
    <t>m-hrs</t>
  </si>
  <si>
    <t xml:space="preserve">Cost/watt for SM Power Supply = </t>
  </si>
  <si>
    <t xml:space="preserve">Cost/watt for SCR Power Supply = </t>
  </si>
  <si>
    <t>PAHSE CONTROLLED (SCR) POWER SUPPLY COSTS</t>
  </si>
  <si>
    <t>votls</t>
  </si>
  <si>
    <t xml:space="preserve">Manufacturer: </t>
  </si>
  <si>
    <t xml:space="preserve">Spang: </t>
  </si>
  <si>
    <t>(kw)</t>
  </si>
  <si>
    <t>$k ea</t>
  </si>
  <si>
    <t>PO 586693, for 5 units, 2009</t>
  </si>
  <si>
    <t xml:space="preserve">(Fermi disigned and built)   </t>
  </si>
  <si>
    <t xml:space="preserve">V/I  Regulator : </t>
  </si>
  <si>
    <t>BASIC POWER SUPPLY COSTS</t>
  </si>
  <si>
    <r>
      <t xml:space="preserve">NOTE:  Passive filter </t>
    </r>
    <r>
      <rPr>
        <b/>
        <u/>
        <sz val="9"/>
        <color rgb="FF9C0006"/>
        <rFont val="Calibri"/>
        <family val="2"/>
        <scheme val="minor"/>
      </rPr>
      <t>INCLUDED</t>
    </r>
  </si>
  <si>
    <t xml:space="preserve">   late 2010, early 2011 reqs</t>
  </si>
  <si>
    <t xml:space="preserve">   Eng Estimate</t>
  </si>
  <si>
    <t xml:space="preserve">     late 2010, early 2011 reqs</t>
  </si>
  <si>
    <t>PS
Location</t>
  </si>
  <si>
    <t xml:space="preserve">Power Supply Loses = </t>
  </si>
  <si>
    <t xml:space="preserve">Power Supply PF = </t>
  </si>
  <si>
    <t>4-Quadrant Switch Mode PS Costs</t>
  </si>
  <si>
    <t>Ferm-built 65amp/150volt</t>
  </si>
  <si>
    <t>10kW</t>
  </si>
  <si>
    <t>Raw power Supply</t>
  </si>
  <si>
    <t>M&amp;S COSTS</t>
  </si>
  <si>
    <t>SM Units</t>
  </si>
  <si>
    <t>hrs</t>
  </si>
  <si>
    <t>Raw PSs and Rack</t>
  </si>
  <si>
    <t>Design, layout, Raw PS</t>
  </si>
  <si>
    <t>AVE
PWR</t>
  </si>
  <si>
    <t>AP30</t>
  </si>
  <si>
    <t>Total 500 Cables</t>
  </si>
  <si>
    <t>Total 100 Cables</t>
  </si>
  <si>
    <t>AP30 500 Cables</t>
  </si>
  <si>
    <t>Det Hall 500 Cables</t>
  </si>
  <si>
    <t>Det Hall 100 Cables</t>
  </si>
  <si>
    <t>AP30 100 Cables</t>
  </si>
  <si>
    <t>CABLE COUNTS</t>
  </si>
  <si>
    <t>I</t>
  </si>
  <si>
    <t>LQC</t>
  </si>
  <si>
    <t>LQD</t>
  </si>
  <si>
    <t>CDA</t>
  </si>
  <si>
    <t>SDFW-SDF</t>
  </si>
  <si>
    <t>SQC</t>
  </si>
  <si>
    <t>SQD</t>
  </si>
  <si>
    <t>Magnet Type</t>
  </si>
  <si>
    <t>Resistance</t>
  </si>
  <si>
    <t>Inductance</t>
  </si>
  <si>
    <t>MC-1 Building Duct Location</t>
  </si>
  <si>
    <t>MC-1</t>
  </si>
  <si>
    <t>Mu2e Building to tunnel</t>
  </si>
  <si>
    <t>MC-1 500 Cables</t>
  </si>
  <si>
    <t>MC-1 100 Cables</t>
  </si>
  <si>
    <t>CABLE COUNTS BY BUILDING</t>
  </si>
  <si>
    <t xml:space="preserve">AP30 Fdr Pwr: </t>
  </si>
  <si>
    <t xml:space="preserve">AP30 Fdr V-A: </t>
  </si>
  <si>
    <t>Mu2e Bld.</t>
  </si>
  <si>
    <t>7 Circuits</t>
  </si>
  <si>
    <t xml:space="preserve">Mu2e Fdr Pwr: </t>
  </si>
  <si>
    <t>Power Supply Labor (Hrs)</t>
  </si>
  <si>
    <t>Planning</t>
  </si>
  <si>
    <t>Implementation</t>
  </si>
  <si>
    <t>Total</t>
  </si>
  <si>
    <t>Electrical Engineer</t>
  </si>
  <si>
    <t>Electrical Technician</t>
  </si>
  <si>
    <t>Power Supply Installation Labor (Hrs)</t>
  </si>
  <si>
    <t>M&amp;S (k$)</t>
  </si>
  <si>
    <t>Cable cost</t>
  </si>
  <si>
    <t>Cable Installation</t>
  </si>
  <si>
    <t>Power Supply cost</t>
  </si>
  <si>
    <t>Power Supply Installation</t>
  </si>
  <si>
    <t>Electrician - Installation</t>
  </si>
  <si>
    <t>Use 500 kW PEI supply from AP2 beamline (circuit IB2-7) in F27</t>
  </si>
  <si>
    <t xml:space="preserve">Electrician hours </t>
  </si>
  <si>
    <t xml:space="preserve">* </t>
  </si>
  <si>
    <t>D:Q909</t>
  </si>
  <si>
    <t>D:Q910</t>
  </si>
  <si>
    <t>D:Q911</t>
  </si>
  <si>
    <t>D:Q912</t>
  </si>
  <si>
    <t>D:Q913</t>
  </si>
  <si>
    <t>D:Q914</t>
  </si>
  <si>
    <t>Q908 116'</t>
  </si>
  <si>
    <t>Q909 124'</t>
  </si>
  <si>
    <t>Q910 136'</t>
  </si>
  <si>
    <t>D:Q919</t>
  </si>
  <si>
    <t>D:Q924</t>
  </si>
  <si>
    <t>D:Q925</t>
  </si>
  <si>
    <t>D:Q926</t>
  </si>
  <si>
    <t>D:Q927</t>
  </si>
  <si>
    <t>D:Q928</t>
  </si>
  <si>
    <t>D:Q939</t>
  </si>
  <si>
    <t>D:Q940</t>
  </si>
  <si>
    <t>MDCE</t>
  </si>
  <si>
    <t>D:HDA1</t>
  </si>
  <si>
    <t>SQB</t>
  </si>
  <si>
    <t xml:space="preserve">SQB </t>
  </si>
  <si>
    <t>SQE</t>
  </si>
  <si>
    <t>D:Q908</t>
  </si>
  <si>
    <t>M4 (Mu2e Section) BEAM LINE POWER SUPPLY REQUIREMENTS</t>
  </si>
  <si>
    <t xml:space="preserve"> D:H910</t>
  </si>
  <si>
    <t>3Q120</t>
  </si>
  <si>
    <t>10 Circuits</t>
  </si>
  <si>
    <t>M4 - Mu2e Beamline</t>
  </si>
  <si>
    <t>Magnet(s) Name(s) &amp;
Distance along beamline (ft)</t>
  </si>
  <si>
    <t>P.S. CIRCUIT</t>
  </si>
  <si>
    <t>D:QDA01</t>
  </si>
  <si>
    <t>D:QDA02</t>
  </si>
  <si>
    <t>AP30 M4 Mu2e quad circuits to M4 enclosure</t>
  </si>
  <si>
    <t>AP30 M4 Mu2e dipole circuits to M4 enclosure</t>
  </si>
  <si>
    <t>M4 enclosure begins at 88' along beamline</t>
  </si>
  <si>
    <t xml:space="preserve">MC-1 Building to enclosure cable tray: </t>
  </si>
  <si>
    <t>QDA01 600' Absorber quadrupole 1</t>
  </si>
  <si>
    <t>QDA02 600' Absorber quadrupole 2</t>
  </si>
  <si>
    <t>%V</t>
  </si>
  <si>
    <t>%I</t>
  </si>
  <si>
    <t>New 75kW Spang power supply</t>
  </si>
  <si>
    <t>Tray to load</t>
  </si>
  <si>
    <t>D:Q929</t>
  </si>
  <si>
    <t>D:Q930</t>
  </si>
  <si>
    <t>D:Q931</t>
  </si>
  <si>
    <t>D:Q932</t>
  </si>
  <si>
    <t>D:Q933</t>
  </si>
  <si>
    <t>D:Q934</t>
  </si>
  <si>
    <t>D:Q935</t>
  </si>
  <si>
    <t>D:Q936</t>
  </si>
  <si>
    <t>ACDipole</t>
  </si>
  <si>
    <t>Q919 256'  thru Q923 325'</t>
  </si>
  <si>
    <t>Q924 345'</t>
  </si>
  <si>
    <t>Q925 362'</t>
  </si>
  <si>
    <t>Q926 365'</t>
  </si>
  <si>
    <t>Q927 387'</t>
  </si>
  <si>
    <t>Q928 416'</t>
  </si>
  <si>
    <t>Q929 436'</t>
  </si>
  <si>
    <t>Q930 463"</t>
  </si>
  <si>
    <t>Q931 480"</t>
  </si>
  <si>
    <t>Q932 533"</t>
  </si>
  <si>
    <t>Q933 556"</t>
  </si>
  <si>
    <t>HDA1 571' Absorber 5 degree dipole magnet</t>
  </si>
  <si>
    <t>Q934 592'</t>
  </si>
  <si>
    <t>Q935 609'</t>
  </si>
  <si>
    <t>Q936 617'</t>
  </si>
  <si>
    <t>17 Circuits</t>
  </si>
  <si>
    <t>Shield Wall</t>
  </si>
  <si>
    <t>D:V936</t>
  </si>
  <si>
    <t>D:Q937</t>
  </si>
  <si>
    <t>D:Q938</t>
  </si>
  <si>
    <t>D:HT940</t>
  </si>
  <si>
    <t>D:VT940</t>
  </si>
  <si>
    <t>D:VT942</t>
  </si>
  <si>
    <t>D:V943</t>
  </si>
  <si>
    <t>D:HT943</t>
  </si>
  <si>
    <t>Q937 675', Q943 770'</t>
  </si>
  <si>
    <t>Q938 686', Q942 760'</t>
  </si>
  <si>
    <t>Q939 702', Q941 743'</t>
  </si>
  <si>
    <t>Q940 722'</t>
  </si>
  <si>
    <t>H910 150', H911 166', H912 182', H916 218', H917 232', H918 249'</t>
  </si>
  <si>
    <t>Q911 155', Q918 237'</t>
  </si>
  <si>
    <t>Q912 170',  Q917 221'</t>
  </si>
  <si>
    <t>Q913 187', Q916 206'</t>
  </si>
  <si>
    <t>Q914 190', Q915 202'</t>
  </si>
  <si>
    <t>V936 672'</t>
  </si>
  <si>
    <t>VT940 735'</t>
  </si>
  <si>
    <t>V943 776'</t>
  </si>
  <si>
    <t>HT943 782'</t>
  </si>
  <si>
    <t xml:space="preserve">MC-1 Fdr Pwr: </t>
  </si>
  <si>
    <t xml:space="preserve">MC-1 Fdr V-A: </t>
  </si>
  <si>
    <t>per ft.</t>
  </si>
  <si>
    <t>Surplus 240kW PEI power supply</t>
  </si>
  <si>
    <t>VT942 766'</t>
  </si>
  <si>
    <t>HT940 729'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</si>
</sst>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&quot;$&quot;#,##0.0"/>
    <numFmt numFmtId="168" formatCode="#,##0.0"/>
    <numFmt numFmtId="169" formatCode="&quot;$&quot;#,##0.00"/>
    <numFmt numFmtId="170" formatCode="0.0000000"/>
  </numFmts>
  <fonts count="36" x14ac:knownFonts="1">
    <font>
      <sz val="10"/>
      <name val="Arial"/>
    </font>
    <font>
      <b/>
      <sz val="16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8000"/>
      <name val="Arial"/>
      <family val="2"/>
    </font>
    <font>
      <sz val="14"/>
      <color rgb="FF9C0006"/>
      <name val="Calibri"/>
      <family val="2"/>
      <scheme val="minor"/>
    </font>
    <font>
      <sz val="9"/>
      <name val="Arial"/>
      <family val="2"/>
    </font>
    <font>
      <sz val="9"/>
      <color rgb="FF9C0006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2"/>
      <color rgb="FF9C0006"/>
      <name val="Calibri"/>
      <family val="2"/>
      <scheme val="minor"/>
    </font>
    <font>
      <b/>
      <u/>
      <sz val="9"/>
      <color rgb="FF9C0006"/>
      <name val="Calibri"/>
      <family val="2"/>
      <scheme val="minor"/>
    </font>
    <font>
      <b/>
      <sz val="14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color indexed="81"/>
      <name val="Tahoma"/>
      <family val="2"/>
    </font>
    <font>
      <sz val="16"/>
      <color indexed="81"/>
      <name val="Tahoma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double">
        <color rgb="FF00B0F0"/>
      </left>
      <right/>
      <top style="double">
        <color rgb="FF00B0F0"/>
      </top>
      <bottom style="thin">
        <color indexed="64"/>
      </bottom>
      <diagonal/>
    </border>
    <border>
      <left/>
      <right/>
      <top style="double">
        <color rgb="FF00B0F0"/>
      </top>
      <bottom style="thin">
        <color indexed="64"/>
      </bottom>
      <diagonal/>
    </border>
    <border>
      <left/>
      <right style="double">
        <color rgb="FF00B0F0"/>
      </right>
      <top style="double">
        <color rgb="FF00B0F0"/>
      </top>
      <bottom style="thin">
        <color indexed="64"/>
      </bottom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FFC000"/>
      </left>
      <right/>
      <top/>
      <bottom/>
      <diagonal/>
    </border>
    <border>
      <left/>
      <right style="double">
        <color rgb="FFFFC000"/>
      </right>
      <top/>
      <bottom/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/>
      <right style="double">
        <color rgb="FFFFC000"/>
      </right>
      <top/>
      <bottom style="double">
        <color rgb="FFFFC000"/>
      </bottom>
      <diagonal/>
    </border>
    <border>
      <left style="double">
        <color rgb="FF7030A0"/>
      </left>
      <right/>
      <top style="double">
        <color rgb="FF7030A0"/>
      </top>
      <bottom style="thin">
        <color indexed="64"/>
      </bottom>
      <diagonal/>
    </border>
    <border>
      <left/>
      <right/>
      <top style="double">
        <color rgb="FF7030A0"/>
      </top>
      <bottom style="thin">
        <color indexed="64"/>
      </bottom>
      <diagonal/>
    </border>
    <border>
      <left/>
      <right style="double">
        <color rgb="FF7030A0"/>
      </right>
      <top style="double">
        <color rgb="FF7030A0"/>
      </top>
      <bottom style="thin">
        <color indexed="64"/>
      </bottom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/>
      <top style="double">
        <color rgb="FFC00000"/>
      </top>
      <bottom style="thin">
        <color indexed="64"/>
      </bottom>
      <diagonal/>
    </border>
    <border>
      <left/>
      <right/>
      <top style="double">
        <color rgb="FFC00000"/>
      </top>
      <bottom style="thin">
        <color indexed="64"/>
      </bottom>
      <diagonal/>
    </border>
    <border>
      <left/>
      <right style="double">
        <color rgb="FFC00000"/>
      </right>
      <top style="double">
        <color rgb="FFC00000"/>
      </top>
      <bottom style="thin">
        <color indexed="64"/>
      </bottom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double">
        <color rgb="FF92D050"/>
      </right>
      <top/>
      <bottom style="double">
        <color rgb="FF92D05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FFC000"/>
      </left>
      <right/>
      <top style="double">
        <color rgb="FFFFC000"/>
      </top>
      <bottom style="thin">
        <color auto="1"/>
      </bottom>
      <diagonal/>
    </border>
    <border>
      <left/>
      <right/>
      <top style="double">
        <color rgb="FFFFC000"/>
      </top>
      <bottom style="thin">
        <color auto="1"/>
      </bottom>
      <diagonal/>
    </border>
    <border>
      <left/>
      <right style="double">
        <color rgb="FFFFC000"/>
      </right>
      <top style="double">
        <color rgb="FFFFC000"/>
      </top>
      <bottom style="thin">
        <color auto="1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thin">
        <color auto="1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/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1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1" fontId="0" fillId="0" borderId="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Continuous"/>
    </xf>
    <xf numFmtId="1" fontId="0" fillId="0" borderId="15" xfId="0" applyNumberFormat="1" applyBorder="1" applyAlignment="1">
      <alignment horizontal="centerContinuous"/>
    </xf>
    <xf numFmtId="166" fontId="0" fillId="0" borderId="16" xfId="0" applyNumberFormat="1" applyBorder="1" applyAlignment="1">
      <alignment horizontal="centerContinuous"/>
    </xf>
    <xf numFmtId="164" fontId="4" fillId="0" borderId="17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" fontId="0" fillId="0" borderId="23" xfId="0" applyNumberFormat="1" applyBorder="1" applyAlignment="1">
      <alignment horizontal="centerContinuous" vertical="center"/>
    </xf>
    <xf numFmtId="166" fontId="0" fillId="0" borderId="23" xfId="0" applyNumberForma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166" fontId="4" fillId="0" borderId="0" xfId="0" applyNumberFormat="1" applyFont="1" applyBorder="1" applyAlignment="1">
      <alignment horizontal="centerContinuous" vertical="center"/>
    </xf>
    <xf numFmtId="0" fontId="0" fillId="0" borderId="26" xfId="0" applyBorder="1" applyAlignment="1">
      <alignment horizontal="left"/>
    </xf>
    <xf numFmtId="1" fontId="0" fillId="0" borderId="2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/>
    </xf>
    <xf numFmtId="0" fontId="9" fillId="3" borderId="0" xfId="2" applyAlignment="1">
      <alignment horizontal="right"/>
    </xf>
    <xf numFmtId="164" fontId="9" fillId="3" borderId="0" xfId="2" applyNumberFormat="1" applyAlignment="1">
      <alignment horizontal="left"/>
    </xf>
    <xf numFmtId="11" fontId="9" fillId="3" borderId="0" xfId="2" applyNumberFormat="1" applyAlignment="1">
      <alignment horizontal="left"/>
    </xf>
    <xf numFmtId="0" fontId="9" fillId="3" borderId="0" xfId="2" applyAlignment="1">
      <alignment horizontal="left"/>
    </xf>
    <xf numFmtId="167" fontId="9" fillId="3" borderId="0" xfId="2" applyNumberFormat="1" applyAlignment="1">
      <alignment horizontal="left"/>
    </xf>
    <xf numFmtId="1" fontId="9" fillId="3" borderId="0" xfId="2" applyNumberFormat="1" applyAlignment="1">
      <alignment horizontal="left"/>
    </xf>
    <xf numFmtId="9" fontId="9" fillId="3" borderId="0" xfId="2" applyNumberFormat="1" applyAlignment="1">
      <alignment horizontal="left"/>
    </xf>
    <xf numFmtId="2" fontId="9" fillId="3" borderId="0" xfId="2" applyNumberFormat="1" applyAlignment="1">
      <alignment horizontal="left"/>
    </xf>
    <xf numFmtId="0" fontId="8" fillId="2" borderId="0" xfId="1" applyAlignment="1">
      <alignment horizontal="center"/>
    </xf>
    <xf numFmtId="1" fontId="8" fillId="2" borderId="0" xfId="1" applyNumberFormat="1" applyAlignment="1">
      <alignment horizontal="center"/>
    </xf>
    <xf numFmtId="0" fontId="11" fillId="2" borderId="0" xfId="1" applyFont="1" applyAlignment="1">
      <alignment horizontal="center"/>
    </xf>
    <xf numFmtId="1" fontId="11" fillId="2" borderId="0" xfId="1" applyNumberFormat="1" applyFont="1" applyAlignment="1">
      <alignment horizontal="center"/>
    </xf>
    <xf numFmtId="0" fontId="11" fillId="2" borderId="0" xfId="1" applyFont="1" applyAlignment="1">
      <alignment horizontal="right"/>
    </xf>
    <xf numFmtId="166" fontId="11" fillId="2" borderId="0" xfId="1" applyNumberFormat="1" applyFont="1" applyAlignment="1">
      <alignment horizontal="center"/>
    </xf>
    <xf numFmtId="166" fontId="11" fillId="2" borderId="0" xfId="1" applyNumberFormat="1" applyFont="1" applyAlignment="1">
      <alignment horizontal="right"/>
    </xf>
    <xf numFmtId="164" fontId="11" fillId="2" borderId="0" xfId="1" applyNumberFormat="1" applyFont="1" applyAlignment="1">
      <alignment horizontal="center"/>
    </xf>
    <xf numFmtId="164" fontId="11" fillId="2" borderId="0" xfId="1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1" fontId="13" fillId="2" borderId="0" xfId="1" applyNumberFormat="1" applyFont="1" applyAlignment="1">
      <alignment horizontal="center"/>
    </xf>
    <xf numFmtId="0" fontId="13" fillId="2" borderId="0" xfId="1" applyFont="1" applyAlignment="1">
      <alignment horizontal="center"/>
    </xf>
    <xf numFmtId="164" fontId="13" fillId="2" borderId="0" xfId="1" applyNumberFormat="1" applyFont="1" applyAlignment="1">
      <alignment horizontal="center"/>
    </xf>
    <xf numFmtId="11" fontId="13" fillId="2" borderId="0" xfId="1" applyNumberFormat="1" applyFont="1" applyAlignment="1">
      <alignment horizontal="right"/>
    </xf>
    <xf numFmtId="166" fontId="13" fillId="2" borderId="0" xfId="1" applyNumberFormat="1" applyFont="1" applyAlignment="1">
      <alignment horizontal="center"/>
    </xf>
    <xf numFmtId="0" fontId="13" fillId="2" borderId="0" xfId="1" applyFont="1"/>
    <xf numFmtId="0" fontId="13" fillId="2" borderId="0" xfId="1" applyFont="1" applyAlignment="1">
      <alignment horizontal="right"/>
    </xf>
    <xf numFmtId="1" fontId="13" fillId="2" borderId="0" xfId="1" applyNumberFormat="1" applyFont="1" applyAlignment="1">
      <alignment horizontal="center"/>
    </xf>
    <xf numFmtId="164" fontId="14" fillId="3" borderId="0" xfId="2" applyNumberFormat="1" applyFont="1" applyAlignment="1">
      <alignment horizontal="center"/>
    </xf>
    <xf numFmtId="0" fontId="14" fillId="3" borderId="0" xfId="2" applyFont="1"/>
    <xf numFmtId="0" fontId="14" fillId="3" borderId="0" xfId="2" applyFont="1" applyAlignment="1">
      <alignment horizontal="right"/>
    </xf>
    <xf numFmtId="1" fontId="14" fillId="3" borderId="0" xfId="2" applyNumberFormat="1" applyFont="1" applyAlignment="1">
      <alignment horizontal="center"/>
    </xf>
    <xf numFmtId="0" fontId="14" fillId="3" borderId="0" xfId="2" applyFont="1" applyAlignment="1">
      <alignment horizontal="center"/>
    </xf>
    <xf numFmtId="11" fontId="9" fillId="3" borderId="0" xfId="2" applyNumberFormat="1" applyAlignment="1">
      <alignment horizontal="right"/>
    </xf>
    <xf numFmtId="0" fontId="9" fillId="0" borderId="0" xfId="2" applyFill="1" applyAlignment="1">
      <alignment horizontal="right"/>
    </xf>
    <xf numFmtId="167" fontId="9" fillId="3" borderId="0" xfId="2" applyNumberFormat="1" applyAlignment="1">
      <alignment horizontal="right"/>
    </xf>
    <xf numFmtId="0" fontId="9" fillId="3" borderId="0" xfId="2"/>
    <xf numFmtId="164" fontId="8" fillId="2" borderId="0" xfId="1" applyNumberFormat="1" applyAlignment="1">
      <alignment horizontal="center"/>
    </xf>
    <xf numFmtId="166" fontId="8" fillId="2" borderId="0" xfId="1" applyNumberFormat="1" applyAlignment="1">
      <alignment horizontal="center"/>
    </xf>
    <xf numFmtId="11" fontId="8" fillId="2" borderId="0" xfId="1" applyNumberFormat="1" applyAlignment="1">
      <alignment horizontal="center"/>
    </xf>
    <xf numFmtId="164" fontId="15" fillId="2" borderId="0" xfId="1" applyNumberFormat="1" applyFont="1" applyAlignment="1">
      <alignment horizontal="left"/>
    </xf>
    <xf numFmtId="164" fontId="13" fillId="2" borderId="0" xfId="1" applyNumberFormat="1" applyFont="1" applyAlignment="1">
      <alignment horizontal="left"/>
    </xf>
    <xf numFmtId="0" fontId="16" fillId="3" borderId="0" xfId="2" applyFont="1"/>
    <xf numFmtId="0" fontId="15" fillId="2" borderId="0" xfId="1" applyFont="1"/>
    <xf numFmtId="164" fontId="8" fillId="2" borderId="0" xfId="1" applyNumberFormat="1" applyAlignment="1">
      <alignment horizontal="right"/>
    </xf>
    <xf numFmtId="166" fontId="9" fillId="3" borderId="0" xfId="2" applyNumberFormat="1" applyAlignment="1">
      <alignment horizontal="left"/>
    </xf>
    <xf numFmtId="166" fontId="11" fillId="2" borderId="0" xfId="1" applyNumberFormat="1" applyFont="1" applyAlignment="1">
      <alignment horizontal="center" vertical="center"/>
    </xf>
    <xf numFmtId="166" fontId="13" fillId="2" borderId="0" xfId="1" applyNumberFormat="1" applyFont="1"/>
    <xf numFmtId="0" fontId="17" fillId="2" borderId="0" xfId="1" applyFont="1" applyAlignment="1">
      <alignment horizontal="center"/>
    </xf>
    <xf numFmtId="0" fontId="8" fillId="2" borderId="0" xfId="1" applyAlignment="1">
      <alignment horizontal="right"/>
    </xf>
    <xf numFmtId="164" fontId="9" fillId="3" borderId="0" xfId="2" applyNumberFormat="1" applyAlignment="1">
      <alignment horizontal="center"/>
    </xf>
    <xf numFmtId="1" fontId="9" fillId="3" borderId="0" xfId="2" applyNumberFormat="1" applyAlignment="1">
      <alignment horizontal="center"/>
    </xf>
    <xf numFmtId="0" fontId="20" fillId="3" borderId="0" xfId="2" applyFont="1" applyAlignment="1">
      <alignment horizontal="left"/>
    </xf>
    <xf numFmtId="0" fontId="4" fillId="0" borderId="0" xfId="0" applyFont="1" applyAlignment="1">
      <alignment horizontal="right"/>
    </xf>
    <xf numFmtId="1" fontId="9" fillId="0" borderId="0" xfId="2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5" borderId="2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33" xfId="0" applyNumberForma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166" fontId="7" fillId="7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166" fontId="26" fillId="0" borderId="0" xfId="0" applyNumberFormat="1" applyFont="1" applyFill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166" fontId="5" fillId="7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166" fontId="5" fillId="5" borderId="0" xfId="0" applyNumberFormat="1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/>
    <xf numFmtId="169" fontId="0" fillId="0" borderId="0" xfId="0" applyNumberFormat="1" applyAlignment="1">
      <alignment horizontal="center"/>
    </xf>
    <xf numFmtId="169" fontId="27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0" xfId="0" applyFont="1"/>
    <xf numFmtId="167" fontId="0" fillId="0" borderId="44" xfId="0" applyNumberFormat="1" applyBorder="1"/>
    <xf numFmtId="1" fontId="0" fillId="0" borderId="43" xfId="0" applyNumberFormat="1" applyBorder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" fillId="6" borderId="3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166" fontId="9" fillId="0" borderId="0" xfId="2" applyNumberFormat="1" applyFill="1" applyAlignment="1">
      <alignment horizontal="left"/>
    </xf>
    <xf numFmtId="1" fontId="9" fillId="0" borderId="0" xfId="2" applyNumberFormat="1" applyFill="1" applyAlignment="1">
      <alignment horizontal="left"/>
    </xf>
    <xf numFmtId="0" fontId="9" fillId="0" borderId="0" xfId="2" applyFill="1" applyAlignment="1">
      <alignment horizontal="left"/>
    </xf>
    <xf numFmtId="2" fontId="9" fillId="0" borderId="0" xfId="2" applyNumberForma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5" fillId="5" borderId="32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2" fontId="5" fillId="5" borderId="3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/>
    </xf>
    <xf numFmtId="166" fontId="5" fillId="7" borderId="35" xfId="0" applyNumberFormat="1" applyFont="1" applyFill="1" applyBorder="1" applyAlignment="1">
      <alignment horizontal="center" vertical="center"/>
    </xf>
    <xf numFmtId="2" fontId="5" fillId="7" borderId="3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 vertical="top"/>
    </xf>
    <xf numFmtId="167" fontId="9" fillId="0" borderId="0" xfId="2" applyNumberFormat="1" applyFill="1" applyAlignment="1">
      <alignment horizontal="left"/>
    </xf>
    <xf numFmtId="164" fontId="9" fillId="0" borderId="0" xfId="2" applyNumberForma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64" fontId="32" fillId="0" borderId="0" xfId="0" applyNumberFormat="1" applyFont="1" applyFill="1" applyAlignment="1">
      <alignment horizontal="left"/>
    </xf>
    <xf numFmtId="11" fontId="6" fillId="0" borderId="45" xfId="0" applyNumberFormat="1" applyFont="1" applyBorder="1" applyAlignment="1">
      <alignment horizontal="centerContinuous"/>
    </xf>
    <xf numFmtId="0" fontId="0" fillId="0" borderId="46" xfId="0" applyBorder="1" applyAlignment="1">
      <alignment horizontal="centerContinuous"/>
    </xf>
    <xf numFmtId="164" fontId="0" fillId="0" borderId="46" xfId="0" applyNumberFormat="1" applyBorder="1" applyAlignment="1">
      <alignment horizontal="centerContinuous"/>
    </xf>
    <xf numFmtId="164" fontId="0" fillId="0" borderId="47" xfId="0" applyNumberFormat="1" applyBorder="1" applyAlignment="1">
      <alignment horizontal="centerContinuous"/>
    </xf>
    <xf numFmtId="0" fontId="6" fillId="0" borderId="48" xfId="0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1" fontId="5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6" fontId="5" fillId="6" borderId="0" xfId="0" applyNumberFormat="1" applyFont="1" applyFill="1" applyAlignment="1">
      <alignment horizontal="center" vertical="center"/>
    </xf>
    <xf numFmtId="1" fontId="5" fillId="6" borderId="32" xfId="0" applyNumberFormat="1" applyFont="1" applyFill="1" applyBorder="1" applyAlignment="1">
      <alignment horizontal="center" vertical="center"/>
    </xf>
    <xf numFmtId="1" fontId="5" fillId="6" borderId="0" xfId="0" applyNumberFormat="1" applyFont="1" applyFill="1" applyBorder="1" applyAlignment="1">
      <alignment horizontal="center" vertical="center"/>
    </xf>
    <xf numFmtId="1" fontId="5" fillId="6" borderId="33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70" fontId="9" fillId="3" borderId="0" xfId="2" applyNumberFormat="1" applyAlignment="1">
      <alignment horizontal="left"/>
    </xf>
    <xf numFmtId="170" fontId="9" fillId="0" borderId="0" xfId="2" applyNumberFormat="1" applyFill="1" applyAlignment="1">
      <alignment horizontal="left"/>
    </xf>
    <xf numFmtId="170" fontId="0" fillId="0" borderId="5" xfId="0" applyNumberFormat="1" applyBorder="1" applyAlignment="1">
      <alignment horizontal="center" vertical="center"/>
    </xf>
    <xf numFmtId="170" fontId="3" fillId="0" borderId="5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70" fontId="10" fillId="0" borderId="8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8" fillId="2" borderId="0" xfId="1" applyNumberFormat="1" applyAlignment="1">
      <alignment horizontal="center"/>
    </xf>
    <xf numFmtId="170" fontId="19" fillId="2" borderId="0" xfId="1" applyNumberFormat="1" applyFont="1" applyAlignment="1">
      <alignment horizontal="left"/>
    </xf>
    <xf numFmtId="170" fontId="13" fillId="2" borderId="0" xfId="1" applyNumberFormat="1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94"/>
  <sheetViews>
    <sheetView tabSelected="1" topLeftCell="A2" zoomScale="60" zoomScaleNormal="60" workbookViewId="0">
      <selection activeCell="A2" sqref="A2"/>
    </sheetView>
  </sheetViews>
  <sheetFormatPr defaultRowHeight="12.75" x14ac:dyDescent="0.2"/>
  <cols>
    <col min="1" max="1" width="13" style="1" bestFit="1" customWidth="1"/>
    <col min="2" max="2" width="3.140625" style="1" customWidth="1"/>
    <col min="3" max="3" width="12.42578125" style="1" bestFit="1" customWidth="1"/>
    <col min="4" max="4" width="59.7109375" style="1" customWidth="1"/>
    <col min="5" max="5" width="11.5703125" style="1" customWidth="1"/>
    <col min="6" max="6" width="7.140625" style="4" bestFit="1" customWidth="1"/>
    <col min="7" max="7" width="8.85546875" style="13" customWidth="1"/>
    <col min="8" max="8" width="12.85546875" style="329" customWidth="1"/>
    <col min="9" max="9" width="3.28515625" style="7" customWidth="1"/>
    <col min="10" max="10" width="6.7109375" style="12" customWidth="1"/>
    <col min="11" max="12" width="6.7109375" style="1" customWidth="1"/>
    <col min="13" max="13" width="6.42578125" style="1" customWidth="1"/>
    <col min="14" max="14" width="7.85546875" style="7" customWidth="1"/>
    <col min="15" max="15" width="1.85546875" style="7" customWidth="1"/>
    <col min="16" max="16" width="6.7109375" style="7" customWidth="1"/>
    <col min="17" max="17" width="6.28515625" style="7" customWidth="1"/>
    <col min="18" max="18" width="7.85546875" style="7" customWidth="1"/>
    <col min="19" max="19" width="3.42578125" style="7" customWidth="1"/>
    <col min="20" max="20" width="6.7109375" style="7" customWidth="1"/>
    <col min="21" max="21" width="8.42578125" style="4" customWidth="1"/>
    <col min="22" max="22" width="7.5703125" style="4" customWidth="1"/>
    <col min="23" max="23" width="6.7109375" style="4" customWidth="1"/>
    <col min="24" max="24" width="7.42578125" style="4" customWidth="1"/>
    <col min="25" max="25" width="7.85546875" style="4" customWidth="1"/>
    <col min="26" max="26" width="6.7109375" style="17" customWidth="1"/>
    <col min="27" max="27" width="3.7109375" style="17" customWidth="1"/>
    <col min="28" max="28" width="9.5703125" style="4" customWidth="1"/>
    <col min="29" max="29" width="6.85546875" style="1" customWidth="1"/>
    <col min="30" max="31" width="6.7109375" style="1" customWidth="1"/>
    <col min="32" max="32" width="7.7109375" style="4" customWidth="1"/>
    <col min="33" max="33" width="7.28515625" style="1" customWidth="1"/>
    <col min="34" max="34" width="2.42578125" style="1" customWidth="1"/>
    <col min="35" max="35" width="10.28515625" style="17" customWidth="1"/>
    <col min="36" max="36" width="7.42578125" style="4" customWidth="1"/>
    <col min="37" max="37" width="7.140625" style="4" customWidth="1"/>
    <col min="38" max="38" width="2.140625" style="1" customWidth="1"/>
    <col min="39" max="39" width="6.7109375" style="17" customWidth="1"/>
    <col min="40" max="41" width="6.7109375" style="4" customWidth="1"/>
    <col min="42" max="42" width="7.85546875" style="4" customWidth="1"/>
    <col min="43" max="43" width="4.42578125" style="1" customWidth="1"/>
    <col min="44" max="44" width="10.5703125" style="1" customWidth="1"/>
    <col min="45" max="45" width="8.7109375" style="4" customWidth="1"/>
    <col min="46" max="46" width="9.42578125" style="17" customWidth="1"/>
    <col min="47" max="47" width="9.140625" style="157" customWidth="1"/>
    <col min="48" max="49" width="9.140625" style="295" customWidth="1"/>
    <col min="50" max="51" width="9.7109375" style="1" customWidth="1"/>
    <col min="53" max="53" width="9.7109375" style="1" customWidth="1"/>
    <col min="54" max="54" width="9.28515625" style="1" bestFit="1" customWidth="1"/>
    <col min="55" max="55" width="11.42578125" style="1" bestFit="1" customWidth="1"/>
    <col min="56" max="56" width="11" style="1" bestFit="1" customWidth="1"/>
    <col min="57" max="57" width="11.5703125" style="1" bestFit="1" customWidth="1"/>
    <col min="58" max="58" width="11.140625" style="1" bestFit="1" customWidth="1"/>
  </cols>
  <sheetData>
    <row r="1" spans="1:58" ht="48" customHeight="1" x14ac:dyDescent="0.2">
      <c r="A1" s="335" t="s">
        <v>221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</row>
    <row r="2" spans="1:58" s="5" customFormat="1" ht="16.149999999999999" customHeight="1" x14ac:dyDescent="0.25">
      <c r="A2" s="320">
        <v>42258</v>
      </c>
      <c r="D2" s="101"/>
      <c r="E2" s="98" t="s">
        <v>0</v>
      </c>
      <c r="F2" s="148">
        <v>3.0000000000000001E-3</v>
      </c>
      <c r="G2" s="101"/>
      <c r="H2" s="321"/>
      <c r="I2" s="99"/>
      <c r="J2" s="100" t="s">
        <v>46</v>
      </c>
      <c r="K2" s="101"/>
      <c r="L2" s="101"/>
      <c r="M2" s="101"/>
      <c r="N2" s="99"/>
      <c r="O2" s="99"/>
      <c r="P2" s="99"/>
      <c r="Q2" s="99"/>
      <c r="R2" s="99"/>
      <c r="S2" s="8"/>
      <c r="T2" s="8"/>
      <c r="U2" s="9"/>
      <c r="V2" s="9"/>
      <c r="W2" s="9"/>
      <c r="X2" s="9"/>
      <c r="Y2" s="9"/>
      <c r="Z2" s="15"/>
      <c r="AA2" s="143"/>
      <c r="AB2" s="103"/>
      <c r="AC2" s="150" t="s">
        <v>47</v>
      </c>
      <c r="AD2" s="101"/>
      <c r="AE2" s="101"/>
      <c r="AF2" s="103"/>
      <c r="AG2" s="101"/>
      <c r="AH2" s="101"/>
      <c r="AI2" s="143"/>
      <c r="AJ2" s="103"/>
      <c r="AK2" s="9"/>
      <c r="AM2" s="15"/>
      <c r="AN2" s="9"/>
      <c r="AO2" s="9"/>
      <c r="AP2" s="9"/>
      <c r="AS2" s="9"/>
      <c r="AT2" s="15"/>
      <c r="AU2" s="158"/>
      <c r="AV2" s="291"/>
      <c r="AW2" s="291"/>
      <c r="BA2" s="1"/>
      <c r="BB2" s="1"/>
      <c r="BC2" s="1"/>
      <c r="BD2" s="1"/>
      <c r="BE2" s="1"/>
      <c r="BF2" s="1"/>
    </row>
    <row r="3" spans="1:58" s="5" customFormat="1" ht="16.149999999999999" customHeight="1" x14ac:dyDescent="0.25">
      <c r="A3" s="1"/>
      <c r="D3" s="267"/>
      <c r="E3" s="132"/>
      <c r="F3" s="152"/>
      <c r="G3" s="101"/>
      <c r="H3" s="321"/>
      <c r="I3" s="99"/>
      <c r="J3" s="100" t="s">
        <v>23</v>
      </c>
      <c r="K3" s="101" t="s">
        <v>43</v>
      </c>
      <c r="L3" s="101"/>
      <c r="M3" s="101" t="s">
        <v>23</v>
      </c>
      <c r="N3" s="99" t="s">
        <v>45</v>
      </c>
      <c r="O3" s="99"/>
      <c r="P3" s="99"/>
      <c r="Q3" s="99"/>
      <c r="R3" s="99"/>
      <c r="S3" s="8"/>
      <c r="T3" s="8"/>
      <c r="U3" s="9"/>
      <c r="V3" s="9"/>
      <c r="W3" s="9"/>
      <c r="X3" s="9"/>
      <c r="Y3" s="9"/>
      <c r="Z3" s="15"/>
      <c r="AA3" s="143"/>
      <c r="AB3" s="103"/>
      <c r="AC3" s="101"/>
      <c r="AD3" s="101"/>
      <c r="AE3" s="98" t="s">
        <v>141</v>
      </c>
      <c r="AF3" s="104">
        <v>0.1</v>
      </c>
      <c r="AG3" s="101" t="s">
        <v>42</v>
      </c>
      <c r="AH3" s="101"/>
      <c r="AI3" s="143"/>
      <c r="AJ3" s="103"/>
      <c r="AK3" s="19"/>
      <c r="AL3" s="21"/>
      <c r="AM3" s="29"/>
      <c r="AN3" s="19"/>
      <c r="AO3" s="19"/>
      <c r="AP3" s="9"/>
      <c r="AS3" s="9"/>
      <c r="AT3" s="15"/>
      <c r="AU3" s="158"/>
      <c r="AV3" s="291"/>
      <c r="AW3" s="291"/>
      <c r="BA3" s="1"/>
      <c r="BB3" s="1"/>
      <c r="BC3" s="1"/>
      <c r="BD3" s="1"/>
      <c r="BE3" s="1"/>
      <c r="BF3" s="1"/>
    </row>
    <row r="4" spans="1:58" s="5" customFormat="1" ht="16.149999999999999" customHeight="1" x14ac:dyDescent="0.25">
      <c r="A4" s="1"/>
      <c r="F4" s="152"/>
      <c r="G4" s="101"/>
      <c r="H4" s="321"/>
      <c r="I4" s="99"/>
      <c r="J4" s="131" t="s">
        <v>117</v>
      </c>
      <c r="K4" s="101">
        <v>5.64</v>
      </c>
      <c r="L4" s="101" t="s">
        <v>289</v>
      </c>
      <c r="M4" s="101"/>
      <c r="N4" s="102">
        <v>3.61</v>
      </c>
      <c r="O4" s="102"/>
      <c r="P4" s="99" t="s">
        <v>44</v>
      </c>
      <c r="Q4" s="99"/>
      <c r="R4" s="99"/>
      <c r="S4" s="8"/>
      <c r="T4" s="8"/>
      <c r="U4" s="9"/>
      <c r="V4" s="9"/>
      <c r="W4" s="9"/>
      <c r="X4" s="9"/>
      <c r="Y4"/>
      <c r="Z4" s="15"/>
      <c r="AA4" s="143"/>
      <c r="AB4" s="103"/>
      <c r="AC4" s="101"/>
      <c r="AD4" s="101"/>
      <c r="AE4" s="98" t="s">
        <v>142</v>
      </c>
      <c r="AF4" s="105">
        <v>0.9</v>
      </c>
      <c r="AG4" s="101" t="s">
        <v>62</v>
      </c>
      <c r="AH4" s="101"/>
      <c r="AI4" s="143"/>
      <c r="AJ4" s="103"/>
      <c r="AK4" s="9"/>
      <c r="AM4" s="15"/>
      <c r="AN4" s="9"/>
      <c r="AO4" s="9"/>
      <c r="AP4" s="9"/>
      <c r="AS4" s="9"/>
      <c r="AT4" s="15"/>
      <c r="AU4" s="158"/>
      <c r="AV4" s="291"/>
      <c r="AW4" s="291"/>
      <c r="BA4" s="1"/>
      <c r="BB4" s="1"/>
      <c r="BC4" s="1"/>
      <c r="BD4" s="1"/>
      <c r="BE4" s="1"/>
      <c r="BF4" s="1"/>
    </row>
    <row r="5" spans="1:58" s="5" customFormat="1" ht="16.149999999999999" customHeight="1" x14ac:dyDescent="0.25">
      <c r="A5" s="1"/>
      <c r="F5" s="152"/>
      <c r="G5" s="101"/>
      <c r="H5" s="321"/>
      <c r="I5" s="99"/>
      <c r="J5" s="131" t="s">
        <v>118</v>
      </c>
      <c r="K5" s="101">
        <v>1.2</v>
      </c>
      <c r="L5" s="101" t="s">
        <v>289</v>
      </c>
      <c r="M5" s="101"/>
      <c r="N5" s="102">
        <v>1.1200000000000001</v>
      </c>
      <c r="O5" s="102"/>
      <c r="P5" s="101" t="s">
        <v>44</v>
      </c>
      <c r="Q5" s="101"/>
      <c r="R5" s="99"/>
      <c r="S5" s="8"/>
      <c r="T5" s="8"/>
      <c r="U5" s="9"/>
      <c r="V5"/>
      <c r="W5" s="9"/>
      <c r="X5" s="9"/>
      <c r="Y5" s="9"/>
      <c r="Z5" s="15"/>
      <c r="AA5" s="143"/>
      <c r="AB5" s="103"/>
      <c r="AC5" s="101"/>
      <c r="AD5" s="101"/>
      <c r="AE5" s="98" t="s">
        <v>142</v>
      </c>
      <c r="AF5" s="103" t="s">
        <v>66</v>
      </c>
      <c r="AG5" s="101"/>
      <c r="AH5" s="101"/>
      <c r="AI5" s="143"/>
      <c r="AJ5" s="103"/>
      <c r="AK5" s="9"/>
      <c r="AM5" s="15"/>
      <c r="AN5" s="9"/>
      <c r="AO5" s="9"/>
      <c r="AP5" s="9"/>
      <c r="AS5" s="9"/>
      <c r="AT5" s="15"/>
      <c r="AU5" s="158"/>
      <c r="AV5" s="291"/>
      <c r="AW5" s="291"/>
      <c r="BA5" s="1"/>
      <c r="BB5" s="1"/>
      <c r="BC5" s="1"/>
      <c r="BD5" s="1"/>
      <c r="BE5" s="1"/>
      <c r="BF5" s="1"/>
    </row>
    <row r="6" spans="1:58" s="5" customFormat="1" ht="16.149999999999999" customHeight="1" x14ac:dyDescent="0.25">
      <c r="C6" s="22" t="s">
        <v>168</v>
      </c>
      <c r="D6" s="21" t="s">
        <v>170</v>
      </c>
      <c r="E6" s="21" t="s">
        <v>169</v>
      </c>
      <c r="F6" s="4"/>
      <c r="G6" s="101"/>
      <c r="H6" s="321"/>
      <c r="I6" s="99"/>
      <c r="J6" s="100"/>
      <c r="K6" s="102"/>
      <c r="L6" s="98" t="s">
        <v>119</v>
      </c>
      <c r="M6" s="101">
        <v>30</v>
      </c>
      <c r="N6" s="102" t="s">
        <v>116</v>
      </c>
      <c r="O6" s="134"/>
      <c r="P6" s="134"/>
      <c r="Q6" s="101"/>
      <c r="R6" s="99"/>
      <c r="S6" s="8"/>
      <c r="T6" s="8"/>
      <c r="U6" s="9"/>
      <c r="V6" s="9"/>
      <c r="W6" s="9"/>
      <c r="X6" s="9"/>
      <c r="Y6" s="9"/>
      <c r="Z6" s="15"/>
      <c r="AA6" s="143"/>
      <c r="AB6" s="103"/>
      <c r="AC6" s="101"/>
      <c r="AD6" s="101"/>
      <c r="AE6" s="98" t="s">
        <v>124</v>
      </c>
      <c r="AF6" s="105">
        <f xml:space="preserve"> AVERAGE(P78:P83)</f>
        <v>0.58000000000000007</v>
      </c>
      <c r="AG6" s="101" t="s">
        <v>110</v>
      </c>
      <c r="AH6" s="101"/>
      <c r="AI6" s="143"/>
      <c r="AJ6" s="103"/>
      <c r="AK6" s="9"/>
      <c r="AM6" s="15"/>
      <c r="AN6" s="9"/>
      <c r="AO6" s="9"/>
      <c r="AP6" s="9"/>
      <c r="AS6" s="9"/>
      <c r="AT6" s="15"/>
      <c r="AU6" s="158"/>
      <c r="AV6" s="291"/>
      <c r="AW6" s="291"/>
      <c r="BA6" s="1"/>
      <c r="BB6" s="1"/>
      <c r="BC6" s="1"/>
      <c r="BD6" s="1"/>
      <c r="BE6" s="1"/>
      <c r="BF6" s="1"/>
    </row>
    <row r="7" spans="1:58" s="5" customFormat="1" ht="16.149999999999999" customHeight="1" x14ac:dyDescent="0.25">
      <c r="C7" s="191" t="s">
        <v>19</v>
      </c>
      <c r="D7" s="5">
        <v>4.3020000000000003E-2</v>
      </c>
      <c r="E7" s="308">
        <v>3.2338499999999999E-2</v>
      </c>
      <c r="F7" s="4"/>
      <c r="G7" s="101"/>
      <c r="H7" s="321"/>
      <c r="I7" s="99"/>
      <c r="J7" s="100"/>
      <c r="K7" s="101"/>
      <c r="L7" s="133" t="s">
        <v>233</v>
      </c>
      <c r="M7" s="101">
        <v>50</v>
      </c>
      <c r="N7" s="102" t="s">
        <v>116</v>
      </c>
      <c r="O7" s="134"/>
      <c r="P7" s="134"/>
      <c r="Q7" s="101"/>
      <c r="R7" s="99"/>
      <c r="S7" s="8"/>
      <c r="T7" s="8"/>
      <c r="U7" s="9"/>
      <c r="V7" s="9"/>
      <c r="W7" s="9"/>
      <c r="X7" s="9"/>
      <c r="Y7" s="9"/>
      <c r="Z7" s="15"/>
      <c r="AA7" s="143"/>
      <c r="AB7" s="103"/>
      <c r="AC7" s="101"/>
      <c r="AD7" s="101"/>
      <c r="AE7" s="98" t="s">
        <v>125</v>
      </c>
      <c r="AF7" s="105">
        <f xml:space="preserve"> AVERAGE(P88:P89)</f>
        <v>0.64</v>
      </c>
      <c r="AG7" s="101" t="s">
        <v>110</v>
      </c>
      <c r="AH7" s="101"/>
      <c r="AI7" s="143"/>
      <c r="AJ7" s="103"/>
      <c r="AK7" s="9"/>
      <c r="AM7" s="15"/>
      <c r="AN7" s="9"/>
      <c r="AO7" s="9"/>
      <c r="AP7" s="9"/>
      <c r="AS7" s="9"/>
      <c r="AT7" s="15"/>
      <c r="AU7" s="158"/>
      <c r="AV7" s="291"/>
      <c r="AW7" s="291"/>
      <c r="BA7" s="1"/>
      <c r="BB7" s="1"/>
      <c r="BC7" s="1"/>
      <c r="BD7" s="1"/>
      <c r="BE7" s="1"/>
      <c r="BF7" s="1"/>
    </row>
    <row r="8" spans="1:58" s="5" customFormat="1" ht="16.149999999999999" customHeight="1" x14ac:dyDescent="0.25">
      <c r="C8" s="22" t="s">
        <v>218</v>
      </c>
      <c r="D8" s="5">
        <v>6.0227999999999997E-2</v>
      </c>
      <c r="E8" s="309">
        <v>3.92517E-2</v>
      </c>
      <c r="F8" s="4"/>
      <c r="G8" s="101"/>
      <c r="H8" s="321"/>
      <c r="I8" s="99"/>
      <c r="J8" s="100"/>
      <c r="K8" s="101"/>
      <c r="L8" s="133" t="s">
        <v>232</v>
      </c>
      <c r="M8" s="101">
        <v>88</v>
      </c>
      <c r="N8" s="102" t="s">
        <v>116</v>
      </c>
      <c r="O8" s="134"/>
      <c r="P8" s="134"/>
      <c r="Q8" s="101"/>
      <c r="R8" s="99"/>
      <c r="S8" s="8"/>
      <c r="T8" s="8"/>
      <c r="U8" s="9"/>
      <c r="V8" s="9"/>
      <c r="W8" s="9"/>
      <c r="X8" s="9"/>
      <c r="Y8" s="9"/>
      <c r="Z8" s="15"/>
      <c r="AA8" s="274"/>
      <c r="AB8" s="275"/>
      <c r="AC8" s="276"/>
      <c r="AD8" s="276"/>
      <c r="AE8" s="132"/>
      <c r="AF8" s="277"/>
      <c r="AG8" s="276"/>
      <c r="AH8" s="276"/>
      <c r="AI8" s="274"/>
      <c r="AJ8" s="275"/>
      <c r="AK8" s="9"/>
      <c r="AM8" s="15"/>
      <c r="AN8" s="9"/>
      <c r="AO8" s="9"/>
      <c r="AP8" s="9"/>
      <c r="AS8" s="9"/>
      <c r="AT8" s="15"/>
      <c r="AU8" s="158"/>
      <c r="AV8" s="291"/>
      <c r="AW8" s="291"/>
      <c r="BA8" s="191"/>
      <c r="BB8" s="191"/>
      <c r="BC8" s="191"/>
      <c r="BD8" s="191"/>
      <c r="BE8" s="191"/>
      <c r="BF8" s="191"/>
    </row>
    <row r="9" spans="1:58" s="5" customFormat="1" ht="16.149999999999999" customHeight="1" x14ac:dyDescent="0.25">
      <c r="C9" s="191" t="s">
        <v>166</v>
      </c>
      <c r="D9" s="5">
        <v>6.5963999999999995E-2</v>
      </c>
      <c r="E9" s="309">
        <v>4.1556099999999999E-2</v>
      </c>
      <c r="F9" s="4"/>
      <c r="G9" s="101"/>
      <c r="H9" s="321"/>
      <c r="I9" s="99"/>
      <c r="J9" s="100"/>
      <c r="K9" s="101"/>
      <c r="L9" s="133" t="s">
        <v>230</v>
      </c>
      <c r="M9" s="101">
        <v>230</v>
      </c>
      <c r="N9" s="102" t="s">
        <v>116</v>
      </c>
      <c r="O9" s="134"/>
      <c r="P9" s="134"/>
      <c r="Q9" s="101"/>
      <c r="R9" s="99"/>
      <c r="S9" s="302"/>
      <c r="T9" s="302"/>
      <c r="U9" s="9"/>
      <c r="V9" s="9"/>
      <c r="W9" s="9"/>
      <c r="X9" s="9"/>
      <c r="Y9" s="9"/>
      <c r="Z9" s="15"/>
      <c r="AA9" s="274"/>
      <c r="AB9" s="275"/>
      <c r="AC9" s="276"/>
      <c r="AD9" s="276"/>
      <c r="AE9" s="132"/>
      <c r="AF9" s="277"/>
      <c r="AG9" s="276"/>
      <c r="AH9" s="276"/>
      <c r="AI9" s="274"/>
      <c r="AJ9" s="275"/>
      <c r="AK9" s="9"/>
      <c r="AM9" s="15"/>
      <c r="AN9" s="9"/>
      <c r="AO9" s="9"/>
      <c r="AP9" s="9"/>
      <c r="AS9" s="9"/>
      <c r="AT9" s="15"/>
      <c r="AU9" s="158"/>
      <c r="AV9" s="291"/>
      <c r="AW9" s="291"/>
      <c r="BA9" s="191"/>
      <c r="BB9" s="191"/>
      <c r="BC9" s="191"/>
      <c r="BD9" s="191"/>
      <c r="BE9" s="191"/>
      <c r="BF9" s="191"/>
    </row>
    <row r="10" spans="1:58" s="5" customFormat="1" ht="16.149999999999999" customHeight="1" x14ac:dyDescent="0.25">
      <c r="C10" s="191" t="s">
        <v>167</v>
      </c>
      <c r="D10" s="5">
        <v>7.7913999999999997E-2</v>
      </c>
      <c r="E10" s="309">
        <v>4.6356899999999999E-2</v>
      </c>
      <c r="F10" s="4"/>
      <c r="G10" s="101"/>
      <c r="H10" s="321"/>
      <c r="I10" s="99"/>
      <c r="J10" s="100"/>
      <c r="K10" s="101"/>
      <c r="L10" s="133" t="s">
        <v>231</v>
      </c>
      <c r="M10" s="101">
        <v>130</v>
      </c>
      <c r="N10" s="102" t="s">
        <v>116</v>
      </c>
      <c r="O10" s="134"/>
      <c r="P10" s="134"/>
      <c r="Q10" s="101"/>
      <c r="R10" s="99"/>
      <c r="S10" s="8"/>
      <c r="T10" s="8"/>
      <c r="U10" s="9"/>
      <c r="V10" s="9"/>
      <c r="W10" s="9"/>
      <c r="X10" s="9"/>
      <c r="Y10" s="9"/>
      <c r="Z10" s="15"/>
      <c r="AA10" s="274"/>
      <c r="AB10" s="275"/>
      <c r="AC10" s="276"/>
      <c r="AD10" s="276"/>
      <c r="AE10" s="132"/>
      <c r="AF10" s="277"/>
      <c r="AG10" s="276"/>
      <c r="AH10" s="276"/>
      <c r="AI10" s="274"/>
      <c r="AJ10" s="275"/>
      <c r="AK10" s="9"/>
      <c r="AM10" s="15"/>
      <c r="AN10" s="9"/>
      <c r="AO10" s="9"/>
      <c r="AP10" s="9"/>
      <c r="AS10" s="9"/>
      <c r="AT10" s="15"/>
      <c r="AU10" s="158"/>
      <c r="AV10" s="291"/>
      <c r="AW10" s="291"/>
      <c r="BA10" s="191"/>
      <c r="BB10" s="191"/>
      <c r="BC10" s="191"/>
      <c r="BD10" s="191"/>
      <c r="BE10" s="191"/>
      <c r="BF10" s="191"/>
    </row>
    <row r="11" spans="1:58" s="5" customFormat="1" ht="16.149999999999999" customHeight="1" x14ac:dyDescent="0.25">
      <c r="C11" s="22" t="s">
        <v>219</v>
      </c>
      <c r="D11" s="5">
        <v>0.1234196</v>
      </c>
      <c r="E11" s="309">
        <v>6.4638500000000002E-2</v>
      </c>
      <c r="F11" s="4"/>
      <c r="G11" s="101"/>
      <c r="H11" s="321"/>
      <c r="I11" s="99"/>
      <c r="J11" s="100"/>
      <c r="K11" s="102"/>
      <c r="L11" s="98" t="s">
        <v>173</v>
      </c>
      <c r="M11" s="101">
        <v>50</v>
      </c>
      <c r="N11" s="102" t="s">
        <v>116</v>
      </c>
      <c r="O11" s="102"/>
      <c r="P11" s="101"/>
      <c r="Q11" s="101"/>
      <c r="R11" s="99"/>
      <c r="S11" s="8"/>
      <c r="T11" s="8"/>
      <c r="U11" s="9"/>
      <c r="V11" s="9"/>
      <c r="W11" s="9"/>
      <c r="X11" s="9"/>
      <c r="Y11" s="9"/>
      <c r="Z11" s="15"/>
      <c r="AA11" s="15"/>
      <c r="AB11" s="9"/>
      <c r="AF11" s="9"/>
      <c r="AI11" s="15"/>
      <c r="AJ11" s="9"/>
      <c r="AK11" s="9"/>
      <c r="AM11" s="15"/>
      <c r="AN11" s="9"/>
      <c r="AO11" s="9"/>
      <c r="AP11" s="9"/>
      <c r="AS11" s="9"/>
      <c r="AT11" s="15"/>
      <c r="AU11" s="158"/>
      <c r="AV11" s="291"/>
      <c r="AW11" s="291"/>
      <c r="BA11" s="1"/>
      <c r="BB11" s="1"/>
      <c r="BC11" s="1"/>
      <c r="BD11" s="1"/>
      <c r="BE11" s="1"/>
      <c r="BF11" s="1"/>
    </row>
    <row r="12" spans="1:58" s="5" customFormat="1" ht="16.149999999999999" customHeight="1" x14ac:dyDescent="0.25">
      <c r="C12" s="191" t="s">
        <v>162</v>
      </c>
      <c r="D12" s="5">
        <v>3.04E-2</v>
      </c>
      <c r="E12" s="309">
        <v>8.1832999999999993E-3</v>
      </c>
      <c r="F12" s="4"/>
      <c r="G12" s="101"/>
      <c r="H12" s="321"/>
      <c r="I12" s="99"/>
      <c r="J12" s="100"/>
      <c r="K12" s="102"/>
      <c r="L12" s="98" t="s">
        <v>120</v>
      </c>
      <c r="M12" s="101">
        <v>700</v>
      </c>
      <c r="N12" s="102" t="s">
        <v>116</v>
      </c>
      <c r="O12" s="102"/>
      <c r="P12" s="101"/>
      <c r="Q12" s="101"/>
      <c r="R12" s="99"/>
      <c r="S12" s="8"/>
      <c r="T12" s="8"/>
      <c r="U12" s="9"/>
      <c r="V12" s="9"/>
      <c r="W12" s="9"/>
      <c r="X12" s="9"/>
      <c r="Y12" s="9"/>
      <c r="Z12" s="15"/>
      <c r="AA12" s="15"/>
      <c r="AB12" s="9"/>
      <c r="AF12" s="9"/>
      <c r="AI12" s="15"/>
      <c r="AJ12" s="9"/>
      <c r="AK12" s="9"/>
      <c r="AM12" s="15"/>
      <c r="AN12" s="9"/>
      <c r="AO12" s="9"/>
      <c r="AP12" s="9"/>
      <c r="AS12" s="9"/>
      <c r="AT12" s="15"/>
      <c r="AU12" s="158"/>
      <c r="AV12" s="291"/>
      <c r="AW12" s="291"/>
      <c r="BA12" s="1"/>
      <c r="BB12" s="1"/>
      <c r="BC12" s="1"/>
      <c r="BD12" s="1"/>
      <c r="BE12" s="1"/>
      <c r="BF12" s="1"/>
    </row>
    <row r="13" spans="1:58" s="5" customFormat="1" ht="16.149999999999999" customHeight="1" x14ac:dyDescent="0.25">
      <c r="C13" s="22" t="s">
        <v>163</v>
      </c>
      <c r="D13" s="5">
        <v>3.44E-2</v>
      </c>
      <c r="E13" s="308">
        <v>8.7892000000000005E-3</v>
      </c>
      <c r="F13" s="4"/>
      <c r="G13" s="101"/>
      <c r="H13" s="321"/>
      <c r="I13" s="99"/>
      <c r="J13" s="100"/>
      <c r="K13" s="102"/>
      <c r="L13" s="98" t="s">
        <v>171</v>
      </c>
      <c r="M13" s="101">
        <v>480</v>
      </c>
      <c r="N13" s="102" t="s">
        <v>116</v>
      </c>
      <c r="O13" s="102"/>
      <c r="P13" s="101"/>
      <c r="Q13" s="101"/>
      <c r="R13" s="99"/>
      <c r="S13" s="8"/>
      <c r="T13" s="8"/>
      <c r="U13" s="9"/>
      <c r="V13" s="9"/>
      <c r="W13" s="9"/>
      <c r="X13" s="9"/>
      <c r="Y13" s="9"/>
      <c r="Z13" s="15"/>
      <c r="AA13" s="15"/>
      <c r="AB13" s="273"/>
      <c r="AD13" s="210"/>
      <c r="AE13" s="210"/>
      <c r="AF13" s="211"/>
      <c r="AG13" s="210"/>
      <c r="AH13" s="210"/>
      <c r="AI13" s="212"/>
      <c r="AJ13" s="211"/>
      <c r="AK13" s="211"/>
      <c r="AL13" s="210"/>
      <c r="AM13" s="212"/>
      <c r="AN13" s="9"/>
      <c r="AO13" s="9"/>
      <c r="AP13" s="9"/>
      <c r="AS13" s="9"/>
      <c r="AT13" s="15"/>
      <c r="AU13" s="158"/>
      <c r="AV13" s="291"/>
      <c r="AW13" s="291"/>
      <c r="BA13" s="162"/>
      <c r="BB13" s="162"/>
      <c r="BC13" s="162"/>
      <c r="BD13" s="162"/>
      <c r="BE13" s="162"/>
      <c r="BF13" s="162"/>
    </row>
    <row r="14" spans="1:58" s="5" customFormat="1" ht="16.149999999999999" customHeight="1" x14ac:dyDescent="0.25">
      <c r="A14" s="191"/>
      <c r="C14" s="22"/>
      <c r="D14" s="21"/>
      <c r="E14" s="191"/>
      <c r="F14" s="4"/>
      <c r="G14" s="101"/>
      <c r="H14" s="321"/>
      <c r="I14" s="101"/>
      <c r="J14" s="101"/>
      <c r="K14" s="102"/>
      <c r="L14" s="98" t="s">
        <v>239</v>
      </c>
      <c r="M14" s="101">
        <v>10</v>
      </c>
      <c r="N14" s="102" t="s">
        <v>116</v>
      </c>
      <c r="O14" s="102"/>
      <c r="P14" s="101"/>
      <c r="Q14" s="101"/>
      <c r="R14" s="99"/>
      <c r="S14" s="8"/>
      <c r="T14" s="8"/>
      <c r="U14" s="9"/>
      <c r="V14" s="9"/>
      <c r="W14" s="9"/>
      <c r="X14" s="9"/>
      <c r="Y14" s="9"/>
      <c r="Z14" s="15"/>
      <c r="AA14" s="15"/>
      <c r="AB14" s="9"/>
      <c r="AF14" s="9"/>
      <c r="AI14" s="15"/>
      <c r="AJ14" s="9"/>
      <c r="AK14" s="9"/>
      <c r="AM14" s="15"/>
      <c r="AN14" s="9"/>
      <c r="AO14" s="9"/>
      <c r="AP14" s="9"/>
      <c r="AS14" s="9"/>
      <c r="AT14" s="15"/>
      <c r="AU14" s="158"/>
      <c r="AV14" s="291"/>
      <c r="AW14" s="291"/>
      <c r="BA14" s="191"/>
      <c r="BB14" s="191"/>
      <c r="BC14" s="191"/>
      <c r="BD14" s="191"/>
      <c r="BE14" s="191"/>
      <c r="BF14" s="191"/>
    </row>
    <row r="15" spans="1:58" s="5" customFormat="1" ht="16.149999999999999" customHeight="1" thickBot="1" x14ac:dyDescent="0.3">
      <c r="A15" s="191"/>
      <c r="C15" s="22"/>
      <c r="D15" s="21"/>
      <c r="E15" s="191"/>
      <c r="F15" s="4"/>
      <c r="G15" s="276"/>
      <c r="H15" s="322"/>
      <c r="I15" s="276"/>
      <c r="J15" s="276"/>
      <c r="K15" s="297"/>
      <c r="L15" s="132"/>
      <c r="M15" s="276"/>
      <c r="N15" s="297"/>
      <c r="O15" s="297"/>
      <c r="P15" s="276"/>
      <c r="Q15" s="276"/>
      <c r="R15" s="298"/>
      <c r="S15" s="8"/>
      <c r="T15" s="8"/>
      <c r="U15" s="9"/>
      <c r="V15" s="9"/>
      <c r="W15" s="9"/>
      <c r="X15" s="9"/>
      <c r="Y15" s="9"/>
      <c r="Z15" s="15"/>
      <c r="AA15" s="15"/>
      <c r="AB15" s="9"/>
      <c r="AF15" s="9"/>
      <c r="AI15" s="15"/>
      <c r="AJ15" s="9"/>
      <c r="AK15" s="9"/>
      <c r="AM15" s="15"/>
      <c r="AN15" s="9"/>
      <c r="AO15" s="9"/>
      <c r="AP15" s="9"/>
      <c r="AS15" s="9"/>
      <c r="AT15" s="15"/>
      <c r="AU15" s="158"/>
      <c r="AV15" s="291"/>
      <c r="AW15" s="291"/>
      <c r="BA15" s="191"/>
      <c r="BB15" s="191"/>
      <c r="BC15" s="191"/>
      <c r="BD15" s="191"/>
      <c r="BE15" s="191"/>
      <c r="BF15" s="191"/>
    </row>
    <row r="16" spans="1:58" s="5" customFormat="1" ht="16.149999999999999" customHeight="1" thickTop="1" x14ac:dyDescent="0.25">
      <c r="A16" s="307" t="s">
        <v>61</v>
      </c>
      <c r="C16" s="340" t="s">
        <v>60</v>
      </c>
      <c r="D16" s="341"/>
      <c r="E16" s="341"/>
      <c r="F16" s="341"/>
      <c r="G16" s="341"/>
      <c r="H16" s="342"/>
      <c r="I16" s="8"/>
      <c r="J16" s="303" t="s">
        <v>37</v>
      </c>
      <c r="K16" s="304"/>
      <c r="L16" s="304"/>
      <c r="M16" s="304"/>
      <c r="N16" s="305"/>
      <c r="O16" s="305"/>
      <c r="P16" s="305"/>
      <c r="Q16" s="305"/>
      <c r="R16" s="306"/>
      <c r="S16" s="8"/>
      <c r="T16" s="58" t="s">
        <v>38</v>
      </c>
      <c r="U16" s="59"/>
      <c r="V16" s="59"/>
      <c r="W16" s="59"/>
      <c r="X16" s="59"/>
      <c r="Y16" s="59"/>
      <c r="Z16" s="60"/>
      <c r="AA16" s="15"/>
      <c r="AB16" s="74" t="s">
        <v>40</v>
      </c>
      <c r="AC16" s="75"/>
      <c r="AD16" s="75"/>
      <c r="AE16" s="75"/>
      <c r="AF16" s="76"/>
      <c r="AG16" s="75"/>
      <c r="AH16" s="75"/>
      <c r="AI16" s="77"/>
      <c r="AJ16" s="76"/>
      <c r="AK16" s="76"/>
      <c r="AL16" s="75"/>
      <c r="AM16" s="77"/>
      <c r="AN16" s="76"/>
      <c r="AO16" s="76"/>
      <c r="AP16" s="76"/>
      <c r="AQ16" s="78"/>
      <c r="AS16" s="337" t="s">
        <v>39</v>
      </c>
      <c r="AT16" s="338"/>
      <c r="AU16" s="339"/>
      <c r="AV16" s="292"/>
      <c r="AW16" s="292"/>
      <c r="AX16" s="333" t="s">
        <v>160</v>
      </c>
      <c r="AY16" s="334"/>
      <c r="BA16" s="333" t="s">
        <v>176</v>
      </c>
      <c r="BB16" s="336"/>
      <c r="BC16" s="336"/>
      <c r="BD16" s="336"/>
      <c r="BE16" s="336"/>
      <c r="BF16" s="334"/>
    </row>
    <row r="17" spans="1:59" s="3" customFormat="1" ht="44.25" customHeight="1" x14ac:dyDescent="0.2">
      <c r="A17" s="165" t="s">
        <v>227</v>
      </c>
      <c r="B17" s="2"/>
      <c r="C17" s="43" t="s">
        <v>1</v>
      </c>
      <c r="D17" s="40" t="s">
        <v>225</v>
      </c>
      <c r="E17" s="41" t="s">
        <v>1</v>
      </c>
      <c r="F17" s="63" t="s">
        <v>2</v>
      </c>
      <c r="G17" s="42" t="s">
        <v>3</v>
      </c>
      <c r="H17" s="323" t="s">
        <v>3</v>
      </c>
      <c r="I17" s="6"/>
      <c r="J17" s="44" t="s">
        <v>36</v>
      </c>
      <c r="K17" s="45" t="s">
        <v>24</v>
      </c>
      <c r="L17" s="41" t="s">
        <v>5</v>
      </c>
      <c r="M17" s="45" t="s">
        <v>25</v>
      </c>
      <c r="N17" s="46" t="s">
        <v>26</v>
      </c>
      <c r="O17" s="46"/>
      <c r="P17" s="47" t="s">
        <v>49</v>
      </c>
      <c r="Q17" s="47"/>
      <c r="R17" s="48" t="s">
        <v>23</v>
      </c>
      <c r="S17" s="14"/>
      <c r="T17" s="61" t="s">
        <v>28</v>
      </c>
      <c r="U17" s="62" t="s">
        <v>29</v>
      </c>
      <c r="V17" s="62" t="s">
        <v>30</v>
      </c>
      <c r="W17" s="63" t="s">
        <v>7</v>
      </c>
      <c r="X17" s="64" t="s">
        <v>31</v>
      </c>
      <c r="Y17" s="64" t="s">
        <v>41</v>
      </c>
      <c r="Z17" s="65" t="s">
        <v>32</v>
      </c>
      <c r="AA17" s="20"/>
      <c r="AB17" s="79" t="s">
        <v>140</v>
      </c>
      <c r="AC17" s="80" t="s">
        <v>33</v>
      </c>
      <c r="AD17" s="80" t="s">
        <v>34</v>
      </c>
      <c r="AE17" s="80" t="s">
        <v>35</v>
      </c>
      <c r="AF17" s="62" t="s">
        <v>27</v>
      </c>
      <c r="AG17" s="41" t="s">
        <v>18</v>
      </c>
      <c r="AH17" s="41"/>
      <c r="AI17" s="83" t="s">
        <v>57</v>
      </c>
      <c r="AJ17" s="81"/>
      <c r="AK17" s="81"/>
      <c r="AL17" s="82"/>
      <c r="AM17" s="83" t="s">
        <v>59</v>
      </c>
      <c r="AN17" s="81"/>
      <c r="AO17" s="81"/>
      <c r="AP17" s="81"/>
      <c r="AQ17" s="84"/>
      <c r="AR17" s="18"/>
      <c r="AS17" s="96" t="s">
        <v>152</v>
      </c>
      <c r="AT17" s="89" t="s">
        <v>17</v>
      </c>
      <c r="AU17" s="159" t="s">
        <v>107</v>
      </c>
      <c r="AV17" s="232"/>
      <c r="AW17" s="232"/>
      <c r="AX17" s="169" t="s">
        <v>154</v>
      </c>
      <c r="AY17" s="170" t="s">
        <v>155</v>
      </c>
      <c r="BA17" s="179" t="s">
        <v>156</v>
      </c>
      <c r="BB17" s="180" t="s">
        <v>159</v>
      </c>
      <c r="BC17" s="180" t="s">
        <v>174</v>
      </c>
      <c r="BD17" s="180" t="s">
        <v>175</v>
      </c>
      <c r="BE17" s="180" t="s">
        <v>157</v>
      </c>
      <c r="BF17" s="181" t="s">
        <v>158</v>
      </c>
    </row>
    <row r="18" spans="1:59" s="3" customFormat="1" ht="46.5" customHeight="1" thickBot="1" x14ac:dyDescent="0.25">
      <c r="A18" s="164" t="s">
        <v>61</v>
      </c>
      <c r="B18" s="2"/>
      <c r="C18" s="43" t="s">
        <v>4</v>
      </c>
      <c r="D18" s="80" t="s">
        <v>226</v>
      </c>
      <c r="E18" s="41" t="s">
        <v>22</v>
      </c>
      <c r="F18" s="63" t="s">
        <v>8</v>
      </c>
      <c r="G18" s="42" t="s">
        <v>9</v>
      </c>
      <c r="H18" s="323" t="s">
        <v>6</v>
      </c>
      <c r="I18" s="6"/>
      <c r="J18" s="49" t="s">
        <v>10</v>
      </c>
      <c r="K18" s="41"/>
      <c r="L18" s="41" t="s">
        <v>11</v>
      </c>
      <c r="M18" s="41" t="s">
        <v>12</v>
      </c>
      <c r="N18" s="50" t="s">
        <v>11</v>
      </c>
      <c r="O18" s="50"/>
      <c r="P18" s="47" t="s">
        <v>48</v>
      </c>
      <c r="Q18" s="47" t="s">
        <v>50</v>
      </c>
      <c r="R18" s="48" t="s">
        <v>51</v>
      </c>
      <c r="S18" s="6"/>
      <c r="T18" s="66" t="s">
        <v>11</v>
      </c>
      <c r="U18" s="63" t="s">
        <v>13</v>
      </c>
      <c r="V18" s="63" t="s">
        <v>13</v>
      </c>
      <c r="W18" s="63" t="s">
        <v>14</v>
      </c>
      <c r="X18" s="67" t="s">
        <v>15</v>
      </c>
      <c r="Y18" s="67" t="s">
        <v>13</v>
      </c>
      <c r="Z18" s="68" t="s">
        <v>16</v>
      </c>
      <c r="AA18" s="16"/>
      <c r="AB18" s="85"/>
      <c r="AC18" s="80" t="s">
        <v>64</v>
      </c>
      <c r="AD18" s="41" t="s">
        <v>15</v>
      </c>
      <c r="AE18" s="40" t="s">
        <v>13</v>
      </c>
      <c r="AF18" s="63" t="s">
        <v>16</v>
      </c>
      <c r="AG18" s="41" t="s">
        <v>16</v>
      </c>
      <c r="AH18" s="41"/>
      <c r="AI18" s="86" t="s">
        <v>48</v>
      </c>
      <c r="AJ18" s="62" t="s">
        <v>55</v>
      </c>
      <c r="AK18" s="62" t="s">
        <v>56</v>
      </c>
      <c r="AL18" s="80"/>
      <c r="AM18" s="86" t="s">
        <v>48</v>
      </c>
      <c r="AN18" s="62" t="s">
        <v>55</v>
      </c>
      <c r="AO18" s="62" t="s">
        <v>56</v>
      </c>
      <c r="AP18" s="62" t="s">
        <v>122</v>
      </c>
      <c r="AQ18" s="87"/>
      <c r="AR18" s="271"/>
      <c r="AS18" s="97" t="s">
        <v>16</v>
      </c>
      <c r="AT18" s="89" t="s">
        <v>17</v>
      </c>
      <c r="AU18" s="159" t="s">
        <v>161</v>
      </c>
      <c r="AV18" s="232" t="s">
        <v>236</v>
      </c>
      <c r="AW18" s="232" t="s">
        <v>237</v>
      </c>
      <c r="AX18" s="155"/>
      <c r="AY18" s="156"/>
      <c r="BA18" s="182">
        <f>AX27</f>
        <v>22</v>
      </c>
      <c r="BB18" s="183">
        <f>AY27</f>
        <v>0</v>
      </c>
      <c r="BC18" s="184">
        <f>AX47</f>
        <v>36</v>
      </c>
      <c r="BD18" s="184">
        <f>AY47</f>
        <v>4</v>
      </c>
      <c r="BE18" s="185">
        <f>AX59</f>
        <v>58</v>
      </c>
      <c r="BF18" s="186">
        <f>AY6</f>
        <v>0</v>
      </c>
    </row>
    <row r="19" spans="1:59" s="3" customFormat="1" ht="15.95" customHeight="1" thickTop="1" x14ac:dyDescent="0.2">
      <c r="A19" s="208" t="s">
        <v>220</v>
      </c>
      <c r="B19" s="192"/>
      <c r="C19" s="193" t="s">
        <v>20</v>
      </c>
      <c r="D19" s="194" t="s">
        <v>204</v>
      </c>
      <c r="E19" s="195" t="s">
        <v>19</v>
      </c>
      <c r="F19" s="63">
        <v>1</v>
      </c>
      <c r="G19" s="264">
        <v>4.3020000000000003E-2</v>
      </c>
      <c r="H19" s="324">
        <v>3.2338499999999999E-2</v>
      </c>
      <c r="I19" s="196"/>
      <c r="J19" s="197">
        <f t="shared" ref="J19:J26" si="0" xml:space="preserve"> IF(Y19&gt;100, 500, 100)</f>
        <v>500</v>
      </c>
      <c r="K19" s="41">
        <f t="shared" ref="K19:K26" si="1" xml:space="preserve"> ROUNDUP(IF(J19=500, Y19/300, Y19/100),0)</f>
        <v>1</v>
      </c>
      <c r="L19" s="50">
        <f t="shared" ref="L19:L26" si="2">IF(J19=500, 0.026, 0.122)</f>
        <v>2.5999999999999999E-2</v>
      </c>
      <c r="M19" s="41">
        <f xml:space="preserve"> 116 - $M$8 + $M$9+M14</f>
        <v>268</v>
      </c>
      <c r="N19" s="50">
        <f t="shared" ref="N19:N26" si="3">2*M19*(L19/K19)/1000</f>
        <v>1.3936E-2</v>
      </c>
      <c r="O19" s="50"/>
      <c r="P19" s="51">
        <f t="shared" ref="P19:P26" si="4" xml:space="preserve"> IF(J19=500, (2 * K19 * M19 * $K$4/1000), (2 * K19 * M19 * $K$5/1000))</f>
        <v>3.0230399999999999</v>
      </c>
      <c r="Q19" s="51">
        <f t="shared" ref="Q19:Q26" si="5" xml:space="preserve"> IF(J19=500, (2 * K19 * M19 * $N$4/1000), (2 * K19 * M19 * $N$5/1000))</f>
        <v>1.93496</v>
      </c>
      <c r="R19" s="52">
        <f t="shared" ref="R19:R26" si="6" xml:space="preserve"> P19 + Q19</f>
        <v>4.9580000000000002</v>
      </c>
      <c r="S19" s="6"/>
      <c r="T19" s="66">
        <f t="shared" ref="T19:T26" si="7">(F19*H19+N19)</f>
        <v>4.6274499999999996E-2</v>
      </c>
      <c r="U19" s="63">
        <v>273.60000000000002</v>
      </c>
      <c r="V19" s="63">
        <f t="shared" ref="V19:V26" si="8">U19</f>
        <v>273.60000000000002</v>
      </c>
      <c r="W19" s="63">
        <v>0</v>
      </c>
      <c r="X19" s="67">
        <f>T19*U19+F19*W19*G19</f>
        <v>12.6607032</v>
      </c>
      <c r="Y19" s="67">
        <f>SQRT(V19^2 + V19*(U19-V19) + (1/3)*(U19-V19)^2)</f>
        <v>273.60000000000002</v>
      </c>
      <c r="Z19" s="68">
        <f t="shared" ref="Z19:Z26" si="9">U19*X19/1000</f>
        <v>3.4639683955200002</v>
      </c>
      <c r="AA19" s="16"/>
      <c r="AB19" s="154" t="s">
        <v>153</v>
      </c>
      <c r="AC19" s="40" t="s">
        <v>63</v>
      </c>
      <c r="AD19" s="41">
        <v>40</v>
      </c>
      <c r="AE19" s="41">
        <v>375</v>
      </c>
      <c r="AF19" s="63">
        <f>AD19*AE19/1000</f>
        <v>15</v>
      </c>
      <c r="AG19" s="88">
        <f>$AF$3*(AD19*Y19)/1000</f>
        <v>1.0944</v>
      </c>
      <c r="AH19" s="88"/>
      <c r="AI19" s="89">
        <f xml:space="preserve"> IF(   AC19 = "SM",      (AF19*$AF$6   +   $AE$86   +    $W$79),       IF(AC19 ="SCR",   ( AF19*$AF$7 + $L$93),     IF(AC19="4QSM", (   (AF19/$F$78)*$E$78  +  (AF19/$F$79) * $E$79),    "????")  )    )</f>
        <v>15.650000000000002</v>
      </c>
      <c r="AJ19" s="63">
        <f xml:space="preserve">  IF(   AC19="SM",     (  SUM($V$87:$V$88)  +  SUM($AF$89:$AF$90)   ) * 40,    IF(AC19="SCR",   ($V$88+$AF$90)*40,  IF(AC19="4QSM", (   (AF19/$F$78)*$E$82  +  (AF19/$F$79) * $E$83), "?????")       )       )</f>
        <v>148</v>
      </c>
      <c r="AK19" s="63">
        <f t="shared" ref="AK19:AK26" si="10" xml:space="preserve">  IF(   AC19="SM",     (  SUM($W$87:$W$88)  +  SUM($AG$89:$AG$90)   ) * 40,    IF(AC19="SCR",   ($W$88+$AG$90)*40,  IF(AC19="4QSM", (   (AF19/$F$78)*$E$85  +  (AF19/$F$79) * $E$86),  "?????")     )         )</f>
        <v>28.000000000000004</v>
      </c>
      <c r="AL19" s="88"/>
      <c r="AM19" s="89">
        <v>1.5</v>
      </c>
      <c r="AN19" s="63">
        <f t="shared" ref="AN19:AN26" si="11" xml:space="preserve"> $AF$91 *40</f>
        <v>8</v>
      </c>
      <c r="AO19" s="63">
        <f t="shared" ref="AO19:AO26" si="12" xml:space="preserve"> $AG$91 * 40</f>
        <v>8</v>
      </c>
      <c r="AP19" s="63">
        <f t="shared" ref="AP19:AP26" si="13" xml:space="preserve"> $W$81</f>
        <v>17.142857142857142</v>
      </c>
      <c r="AQ19" s="90"/>
      <c r="AR19" s="270"/>
      <c r="AS19" s="97">
        <f t="shared" ref="AS19:AS26" si="14">T19*Y19^2/1000+AG19</f>
        <v>4.5583683955199996</v>
      </c>
      <c r="AT19" s="89">
        <f t="shared" ref="AT19:AT25" si="15">IF(    AC19="SM", AS19/$AF$4,     IF(    AC19="4QSM", AS19/$AF$4,    AS19/(X19/AD19)   )         )</f>
        <v>5.0648537727999994</v>
      </c>
      <c r="AU19" s="159">
        <f t="shared" ref="AU19:AU26" si="16">(AT19*1000)/(480*1.73)</f>
        <v>6.099294042389209</v>
      </c>
      <c r="AV19" s="232">
        <f>X19/AD19*100</f>
        <v>31.651758000000001</v>
      </c>
      <c r="AW19" s="232">
        <f>Y19/AE19*100</f>
        <v>72.960000000000008</v>
      </c>
      <c r="AX19" s="155">
        <f t="shared" ref="AX19:AX26" si="17">IF(J19=500, (K19*2), 0)</f>
        <v>2</v>
      </c>
      <c r="AY19" s="156">
        <f t="shared" ref="AY19:AY26" si="18">IF((J19=100), (K19*2), 0)</f>
        <v>0</v>
      </c>
      <c r="BD19" s="2"/>
      <c r="BE19" s="2"/>
      <c r="BF19" s="2"/>
    </row>
    <row r="20" spans="1:59" s="3" customFormat="1" ht="15.95" customHeight="1" x14ac:dyDescent="0.2">
      <c r="A20" s="208" t="s">
        <v>198</v>
      </c>
      <c r="B20" s="192"/>
      <c r="C20" s="193" t="s">
        <v>20</v>
      </c>
      <c r="D20" s="194" t="s">
        <v>205</v>
      </c>
      <c r="E20" s="195" t="s">
        <v>19</v>
      </c>
      <c r="F20" s="63">
        <v>1</v>
      </c>
      <c r="G20" s="264">
        <v>4.3020000000000003E-2</v>
      </c>
      <c r="H20" s="324">
        <v>3.2338499999999999E-2</v>
      </c>
      <c r="I20" s="196"/>
      <c r="J20" s="197">
        <f t="shared" si="0"/>
        <v>500</v>
      </c>
      <c r="K20" s="41">
        <f t="shared" si="1"/>
        <v>1</v>
      </c>
      <c r="L20" s="50">
        <f t="shared" si="2"/>
        <v>2.5999999999999999E-2</v>
      </c>
      <c r="M20" s="41">
        <f xml:space="preserve"> 124 - $M$8 + $M$9+M14</f>
        <v>276</v>
      </c>
      <c r="N20" s="50">
        <f t="shared" si="3"/>
        <v>1.4351999999999998E-2</v>
      </c>
      <c r="O20" s="50"/>
      <c r="P20" s="51">
        <f t="shared" si="4"/>
        <v>3.1132799999999996</v>
      </c>
      <c r="Q20" s="51">
        <f t="shared" si="5"/>
        <v>1.99272</v>
      </c>
      <c r="R20" s="52">
        <f t="shared" si="6"/>
        <v>5.1059999999999999</v>
      </c>
      <c r="S20" s="6"/>
      <c r="T20" s="66">
        <f t="shared" si="7"/>
        <v>4.6690499999999996E-2</v>
      </c>
      <c r="U20" s="63">
        <v>213.7</v>
      </c>
      <c r="V20" s="63">
        <f t="shared" si="8"/>
        <v>213.7</v>
      </c>
      <c r="W20" s="63">
        <v>0</v>
      </c>
      <c r="X20" s="67">
        <f t="shared" ref="X20:X26" si="19">T20*U20+F20*W20*G20</f>
        <v>9.9777598499999982</v>
      </c>
      <c r="Y20" s="67">
        <f>SQRT(V20^2 + V20*(U20-V20) + (1/3)*(U20-V20)^2)</f>
        <v>213.7</v>
      </c>
      <c r="Z20" s="68">
        <f t="shared" si="9"/>
        <v>2.1322472799449996</v>
      </c>
      <c r="AA20" s="16"/>
      <c r="AB20" s="154" t="s">
        <v>153</v>
      </c>
      <c r="AC20" s="40" t="s">
        <v>63</v>
      </c>
      <c r="AD20" s="41">
        <v>32</v>
      </c>
      <c r="AE20" s="41">
        <v>300</v>
      </c>
      <c r="AF20" s="63">
        <f>AD20*AE20/1000</f>
        <v>9.6</v>
      </c>
      <c r="AG20" s="88">
        <f>$AF$3*(AD20*Y20)/1000</f>
        <v>0.68384</v>
      </c>
      <c r="AH20" s="88"/>
      <c r="AI20" s="89">
        <f xml:space="preserve"> IF(   AC20 = "SM",      (AF20*$AF$6   +   $AE$86   +    $W$79),       IF(AC20 ="SCR",   ( AF20*$AF$7 + $L$93),     IF(AC20="4QSM", (   (AF20/$F$78)*$E$78  +  (AF20/$F$79) * $E$79),    "????")  )    )</f>
        <v>12.518000000000001</v>
      </c>
      <c r="AJ20" s="63">
        <f t="shared" ref="AJ20:AJ26" si="20" xml:space="preserve">  IF(   AC20="SM",     (  SUM($V$87:$V$88)  +  SUM($AF$89:$AF$90)   ) * 40,    IF(AC20="SCR",   ($V$88+$AF$90)*40,  IF(AC20="4QSM", (   (AF20/$F$78)*$E$82  +  (AF20/$F$79) * $E$83), "?????")       )       )</f>
        <v>148</v>
      </c>
      <c r="AK20" s="63">
        <f t="shared" si="10"/>
        <v>28.000000000000004</v>
      </c>
      <c r="AL20" s="88"/>
      <c r="AM20" s="89">
        <v>1.5</v>
      </c>
      <c r="AN20" s="63">
        <f t="shared" si="11"/>
        <v>8</v>
      </c>
      <c r="AO20" s="63">
        <f t="shared" si="12"/>
        <v>8</v>
      </c>
      <c r="AP20" s="63">
        <f t="shared" si="13"/>
        <v>17.142857142857142</v>
      </c>
      <c r="AQ20" s="90"/>
      <c r="AR20" s="270"/>
      <c r="AS20" s="97">
        <f t="shared" si="14"/>
        <v>2.8160872799449996</v>
      </c>
      <c r="AT20" s="89">
        <f t="shared" si="15"/>
        <v>3.128985866605555</v>
      </c>
      <c r="AU20" s="159">
        <f t="shared" si="16"/>
        <v>3.7680465638313527</v>
      </c>
      <c r="AV20" s="232">
        <f t="shared" ref="AV20:AV58" si="21">X20/AD20*100</f>
        <v>31.180499531249993</v>
      </c>
      <c r="AW20" s="232">
        <f t="shared" ref="AW20:AW58" si="22">Y20/AE20*100</f>
        <v>71.23333333333332</v>
      </c>
      <c r="AX20" s="155">
        <f t="shared" si="17"/>
        <v>2</v>
      </c>
      <c r="AY20" s="156">
        <f t="shared" si="18"/>
        <v>0</v>
      </c>
      <c r="BD20" s="2"/>
      <c r="BE20" s="2"/>
      <c r="BF20" s="2"/>
    </row>
    <row r="21" spans="1:59" s="3" customFormat="1" ht="15.95" customHeight="1" x14ac:dyDescent="0.2">
      <c r="A21" s="208" t="s">
        <v>199</v>
      </c>
      <c r="B21" s="196"/>
      <c r="C21" s="193" t="s">
        <v>20</v>
      </c>
      <c r="D21" s="194" t="s">
        <v>206</v>
      </c>
      <c r="E21" s="195" t="s">
        <v>166</v>
      </c>
      <c r="F21" s="63">
        <v>1</v>
      </c>
      <c r="G21" s="42">
        <v>6.5960000000000005E-2</v>
      </c>
      <c r="H21" s="324">
        <v>4.1556099999999999E-2</v>
      </c>
      <c r="I21" s="196"/>
      <c r="J21" s="197">
        <f t="shared" si="0"/>
        <v>500</v>
      </c>
      <c r="K21" s="41">
        <f t="shared" si="1"/>
        <v>1</v>
      </c>
      <c r="L21" s="50">
        <f t="shared" si="2"/>
        <v>2.5999999999999999E-2</v>
      </c>
      <c r="M21" s="41">
        <f xml:space="preserve"> 136 - $M$8 + $M$9+M14</f>
        <v>288</v>
      </c>
      <c r="N21" s="50">
        <f t="shared" si="3"/>
        <v>1.4976E-2</v>
      </c>
      <c r="O21" s="50"/>
      <c r="P21" s="51">
        <f t="shared" si="4"/>
        <v>3.24864</v>
      </c>
      <c r="Q21" s="51">
        <f t="shared" si="5"/>
        <v>2.0793600000000003</v>
      </c>
      <c r="R21" s="52">
        <f t="shared" si="6"/>
        <v>5.3280000000000003</v>
      </c>
      <c r="S21" s="6"/>
      <c r="T21" s="66">
        <f t="shared" si="7"/>
        <v>5.6532100000000002E-2</v>
      </c>
      <c r="U21" s="63">
        <v>210.7</v>
      </c>
      <c r="V21" s="63">
        <f t="shared" si="8"/>
        <v>210.7</v>
      </c>
      <c r="W21" s="63">
        <v>0</v>
      </c>
      <c r="X21" s="67">
        <f t="shared" si="19"/>
        <v>11.91131347</v>
      </c>
      <c r="Y21" s="67">
        <f t="shared" ref="Y21:Y58" si="23">SQRT(V21^2 + V21*(U21-V21) + (1/3)*(U21-V21)^2)</f>
        <v>210.7</v>
      </c>
      <c r="Z21" s="68">
        <f t="shared" si="9"/>
        <v>2.5097137481289997</v>
      </c>
      <c r="AA21" s="16"/>
      <c r="AB21" s="154" t="s">
        <v>153</v>
      </c>
      <c r="AC21" s="40" t="s">
        <v>63</v>
      </c>
      <c r="AD21" s="41">
        <v>32</v>
      </c>
      <c r="AE21" s="41">
        <v>300</v>
      </c>
      <c r="AF21" s="63">
        <f t="shared" ref="AF21:AF33" si="24">AD21*AE21/1000</f>
        <v>9.6</v>
      </c>
      <c r="AG21" s="88">
        <f t="shared" ref="AG21:AG33" si="25">$AF$3*(AD21*Y21)/1000</f>
        <v>0.67424000000000006</v>
      </c>
      <c r="AH21" s="88"/>
      <c r="AI21" s="89">
        <f xml:space="preserve"> IF(   AC21 = "SM",      (AF21*$AF$6   +   $AE$86   +    $W$79),       IF(AC21 ="SCR",   ( AF21*$AF$7 + $L$93),     IF(AC21="4QSM", (   (AF21/$F$78)*$E$78  +  (AF21/$F$79) * $E$79),    "????")  )    )</f>
        <v>12.518000000000001</v>
      </c>
      <c r="AJ21" s="63">
        <f t="shared" si="20"/>
        <v>148</v>
      </c>
      <c r="AK21" s="63">
        <f t="shared" si="10"/>
        <v>28.000000000000004</v>
      </c>
      <c r="AL21" s="88"/>
      <c r="AM21" s="89">
        <v>1.5</v>
      </c>
      <c r="AN21" s="63">
        <f t="shared" si="11"/>
        <v>8</v>
      </c>
      <c r="AO21" s="63">
        <f t="shared" si="12"/>
        <v>8</v>
      </c>
      <c r="AP21" s="63">
        <f t="shared" si="13"/>
        <v>17.142857142857142</v>
      </c>
      <c r="AQ21" s="90"/>
      <c r="AR21" s="270"/>
      <c r="AS21" s="97">
        <f t="shared" si="14"/>
        <v>3.1839537481290003</v>
      </c>
      <c r="AT21" s="89">
        <f t="shared" si="15"/>
        <v>3.5377263868100002</v>
      </c>
      <c r="AU21" s="159">
        <f t="shared" si="16"/>
        <v>4.26026780685212</v>
      </c>
      <c r="AV21" s="232">
        <f t="shared" si="21"/>
        <v>37.22285459375</v>
      </c>
      <c r="AW21" s="232">
        <f t="shared" si="22"/>
        <v>70.23333333333332</v>
      </c>
      <c r="AX21" s="155">
        <f t="shared" si="17"/>
        <v>2</v>
      </c>
      <c r="AY21" s="156">
        <f t="shared" si="18"/>
        <v>0</v>
      </c>
      <c r="BE21" s="2"/>
      <c r="BF21" s="2"/>
    </row>
    <row r="22" spans="1:59" s="3" customFormat="1" ht="16.5" customHeight="1" x14ac:dyDescent="0.2">
      <c r="A22" s="208" t="s">
        <v>222</v>
      </c>
      <c r="B22" s="198"/>
      <c r="C22" s="201" t="s">
        <v>21</v>
      </c>
      <c r="D22" s="203" t="s">
        <v>278</v>
      </c>
      <c r="E22" s="195" t="s">
        <v>165</v>
      </c>
      <c r="F22" s="63">
        <v>6</v>
      </c>
      <c r="G22" s="272">
        <v>5.6739999999999999E-2</v>
      </c>
      <c r="H22" s="325">
        <v>4.5490000000000003E-2</v>
      </c>
      <c r="I22" s="196"/>
      <c r="J22" s="197">
        <f t="shared" si="0"/>
        <v>500</v>
      </c>
      <c r="K22" s="41">
        <f t="shared" si="1"/>
        <v>3</v>
      </c>
      <c r="L22" s="50">
        <f t="shared" si="2"/>
        <v>2.5999999999999999E-2</v>
      </c>
      <c r="M22" s="41">
        <f xml:space="preserve"> 249 - $M$8 + $M$10 + $M$6+M14</f>
        <v>331</v>
      </c>
      <c r="N22" s="50">
        <f t="shared" si="3"/>
        <v>5.737333333333333E-3</v>
      </c>
      <c r="O22" s="50"/>
      <c r="P22" s="51">
        <f t="shared" si="4"/>
        <v>11.201039999999999</v>
      </c>
      <c r="Q22" s="51">
        <f t="shared" si="5"/>
        <v>7.1694599999999999</v>
      </c>
      <c r="R22" s="52">
        <f t="shared" si="6"/>
        <v>18.3705</v>
      </c>
      <c r="S22" s="6"/>
      <c r="T22" s="66">
        <f t="shared" si="7"/>
        <v>0.27867733333333333</v>
      </c>
      <c r="U22" s="63">
        <v>805</v>
      </c>
      <c r="V22" s="63">
        <f t="shared" si="8"/>
        <v>805</v>
      </c>
      <c r="W22" s="63">
        <v>0</v>
      </c>
      <c r="X22" s="215">
        <f t="shared" si="19"/>
        <v>224.33525333333333</v>
      </c>
      <c r="Y22" s="215">
        <f>SQRT(V22^2 + V22*(U22-V22) + (1/3)*(U22-V22)^2)</f>
        <v>805</v>
      </c>
      <c r="Z22" s="216">
        <f t="shared" si="9"/>
        <v>180.58987893333332</v>
      </c>
      <c r="AA22" s="217"/>
      <c r="AB22" s="154" t="s">
        <v>153</v>
      </c>
      <c r="AC22" s="218" t="s">
        <v>65</v>
      </c>
      <c r="AD22" s="218">
        <v>400</v>
      </c>
      <c r="AE22" s="218">
        <v>1200</v>
      </c>
      <c r="AF22" s="227">
        <f>AD22*AE22/1000</f>
        <v>480</v>
      </c>
      <c r="AG22" s="219">
        <f>$AF$3*(AD22*Y22)/1000</f>
        <v>32.200000000000003</v>
      </c>
      <c r="AH22" s="219"/>
      <c r="AI22" s="89">
        <v>31</v>
      </c>
      <c r="AJ22" s="178">
        <f t="shared" si="20"/>
        <v>28</v>
      </c>
      <c r="AK22" s="63">
        <f t="shared" si="10"/>
        <v>12.000000000000002</v>
      </c>
      <c r="AL22" s="219"/>
      <c r="AM22" s="220">
        <v>1.5</v>
      </c>
      <c r="AN22" s="63">
        <f t="shared" si="11"/>
        <v>8</v>
      </c>
      <c r="AO22" s="178">
        <f t="shared" si="12"/>
        <v>8</v>
      </c>
      <c r="AP22" s="178">
        <f t="shared" si="13"/>
        <v>17.142857142857142</v>
      </c>
      <c r="AQ22" s="221"/>
      <c r="AR22" s="270"/>
      <c r="AS22" s="222">
        <f t="shared" si="14"/>
        <v>212.78987893333334</v>
      </c>
      <c r="AT22" s="220">
        <f t="shared" si="15"/>
        <v>379.41407027482205</v>
      </c>
      <c r="AU22" s="223">
        <f t="shared" si="16"/>
        <v>456.90519060070096</v>
      </c>
      <c r="AV22" s="232">
        <f t="shared" si="21"/>
        <v>56.083813333333332</v>
      </c>
      <c r="AW22" s="232">
        <f t="shared" si="22"/>
        <v>67.083333333333329</v>
      </c>
      <c r="AX22" s="155">
        <f t="shared" si="17"/>
        <v>6</v>
      </c>
      <c r="AY22" s="156">
        <f t="shared" si="18"/>
        <v>0</v>
      </c>
      <c r="AZ22" s="225"/>
      <c r="BA22" s="226" t="s">
        <v>195</v>
      </c>
      <c r="BB22" s="224"/>
      <c r="BC22" s="224"/>
      <c r="BD22" s="224"/>
      <c r="BE22" s="224"/>
      <c r="BF22" s="224"/>
      <c r="BG22" s="225"/>
    </row>
    <row r="23" spans="1:59" s="3" customFormat="1" ht="15.95" customHeight="1" x14ac:dyDescent="0.2">
      <c r="A23" s="208" t="s">
        <v>200</v>
      </c>
      <c r="B23" s="196"/>
      <c r="C23" s="193" t="s">
        <v>20</v>
      </c>
      <c r="D23" s="194" t="s">
        <v>279</v>
      </c>
      <c r="E23" s="195" t="s">
        <v>166</v>
      </c>
      <c r="F23" s="63">
        <v>2</v>
      </c>
      <c r="G23" s="42">
        <v>6.5960000000000005E-2</v>
      </c>
      <c r="H23" s="324">
        <v>4.1556099999999999E-2</v>
      </c>
      <c r="I23" s="196"/>
      <c r="J23" s="197">
        <f t="shared" si="0"/>
        <v>500</v>
      </c>
      <c r="K23" s="41">
        <f t="shared" si="1"/>
        <v>1</v>
      </c>
      <c r="L23" s="50">
        <f t="shared" si="2"/>
        <v>2.5999999999999999E-2</v>
      </c>
      <c r="M23" s="41">
        <f xml:space="preserve"> 237 - $M$8 + $M$9+M14</f>
        <v>389</v>
      </c>
      <c r="N23" s="50">
        <f t="shared" si="3"/>
        <v>2.0227999999999999E-2</v>
      </c>
      <c r="O23" s="50"/>
      <c r="P23" s="51">
        <f t="shared" si="4"/>
        <v>4.3879200000000003</v>
      </c>
      <c r="Q23" s="51">
        <f t="shared" si="5"/>
        <v>2.8085800000000001</v>
      </c>
      <c r="R23" s="52">
        <f t="shared" si="6"/>
        <v>7.1965000000000003</v>
      </c>
      <c r="S23" s="6"/>
      <c r="T23" s="66">
        <f t="shared" si="7"/>
        <v>0.10334019999999999</v>
      </c>
      <c r="U23" s="63">
        <v>202.6</v>
      </c>
      <c r="V23" s="63">
        <f t="shared" si="8"/>
        <v>202.6</v>
      </c>
      <c r="W23" s="63">
        <v>0</v>
      </c>
      <c r="X23" s="67">
        <f t="shared" si="19"/>
        <v>20.936724519999999</v>
      </c>
      <c r="Y23" s="67">
        <f t="shared" si="23"/>
        <v>202.6</v>
      </c>
      <c r="Z23" s="68">
        <f t="shared" si="9"/>
        <v>4.2417803877519997</v>
      </c>
      <c r="AA23" s="16"/>
      <c r="AB23" s="154" t="s">
        <v>153</v>
      </c>
      <c r="AC23" s="40" t="s">
        <v>63</v>
      </c>
      <c r="AD23" s="41">
        <v>32</v>
      </c>
      <c r="AE23" s="41">
        <v>300</v>
      </c>
      <c r="AF23" s="63">
        <f t="shared" si="24"/>
        <v>9.6</v>
      </c>
      <c r="AG23" s="88">
        <f t="shared" si="25"/>
        <v>0.64832000000000001</v>
      </c>
      <c r="AH23" s="88"/>
      <c r="AI23" s="89">
        <f xml:space="preserve"> IF(   AC23 = "SM",      (AF23*$AF$6   +   $AE$86   +    $W$79),       IF(AC23 ="SCR",   ( AF23*$AF$7 + $L$93),     IF(AC23="4QSM", (   (AF23/$F$78)*$E$78  +  (AF23/$F$79) * $E$79),    "????")  )    )</f>
        <v>12.518000000000001</v>
      </c>
      <c r="AJ23" s="63">
        <f t="shared" si="20"/>
        <v>148</v>
      </c>
      <c r="AK23" s="63">
        <f t="shared" si="10"/>
        <v>28.000000000000004</v>
      </c>
      <c r="AL23" s="88"/>
      <c r="AM23" s="89">
        <v>1.5</v>
      </c>
      <c r="AN23" s="63">
        <f t="shared" si="11"/>
        <v>8</v>
      </c>
      <c r="AO23" s="63">
        <f t="shared" si="12"/>
        <v>8</v>
      </c>
      <c r="AP23" s="63">
        <f t="shared" si="13"/>
        <v>17.142857142857142</v>
      </c>
      <c r="AQ23" s="90"/>
      <c r="AR23" s="270"/>
      <c r="AS23" s="97">
        <f t="shared" si="14"/>
        <v>4.8901003877519988</v>
      </c>
      <c r="AT23" s="89">
        <f t="shared" si="15"/>
        <v>5.4334448752799984</v>
      </c>
      <c r="AU23" s="159">
        <f t="shared" si="16"/>
        <v>6.5431657939306334</v>
      </c>
      <c r="AV23" s="232">
        <f t="shared" si="21"/>
        <v>65.427264124999994</v>
      </c>
      <c r="AW23" s="232">
        <f t="shared" si="22"/>
        <v>67.533333333333331</v>
      </c>
      <c r="AX23" s="155">
        <f t="shared" si="17"/>
        <v>2</v>
      </c>
      <c r="AY23" s="156">
        <f t="shared" si="18"/>
        <v>0</v>
      </c>
      <c r="BE23" s="2"/>
      <c r="BF23" s="2"/>
    </row>
    <row r="24" spans="1:59" s="3" customFormat="1" ht="15.95" customHeight="1" x14ac:dyDescent="0.2">
      <c r="A24" s="208" t="s">
        <v>201</v>
      </c>
      <c r="B24" s="192"/>
      <c r="C24" s="193" t="s">
        <v>20</v>
      </c>
      <c r="D24" s="194" t="s">
        <v>280</v>
      </c>
      <c r="E24" s="195" t="s">
        <v>19</v>
      </c>
      <c r="F24" s="63">
        <v>2</v>
      </c>
      <c r="G24" s="42">
        <v>4.3020000000000003E-2</v>
      </c>
      <c r="H24" s="324">
        <v>3.2338499999999999E-2</v>
      </c>
      <c r="I24" s="196"/>
      <c r="J24" s="197">
        <f t="shared" si="0"/>
        <v>500</v>
      </c>
      <c r="K24" s="41">
        <f t="shared" si="1"/>
        <v>1</v>
      </c>
      <c r="L24" s="50">
        <f t="shared" si="2"/>
        <v>2.5999999999999999E-2</v>
      </c>
      <c r="M24" s="41">
        <f xml:space="preserve"> 221 - $M$8 + $M$9+M14</f>
        <v>373</v>
      </c>
      <c r="N24" s="50">
        <f t="shared" si="3"/>
        <v>1.9396E-2</v>
      </c>
      <c r="O24" s="50"/>
      <c r="P24" s="51">
        <f t="shared" si="4"/>
        <v>4.2074399999999992</v>
      </c>
      <c r="Q24" s="51">
        <f t="shared" si="5"/>
        <v>2.69306</v>
      </c>
      <c r="R24" s="52">
        <f t="shared" si="6"/>
        <v>6.9004999999999992</v>
      </c>
      <c r="S24" s="6"/>
      <c r="T24" s="66">
        <f t="shared" si="7"/>
        <v>8.4072999999999995E-2</v>
      </c>
      <c r="U24" s="63">
        <v>186.7</v>
      </c>
      <c r="V24" s="63">
        <f t="shared" si="8"/>
        <v>186.7</v>
      </c>
      <c r="W24" s="63">
        <v>0</v>
      </c>
      <c r="X24" s="67">
        <f t="shared" si="19"/>
        <v>15.696429099999998</v>
      </c>
      <c r="Y24" s="67">
        <f t="shared" si="23"/>
        <v>186.7</v>
      </c>
      <c r="Z24" s="68">
        <f t="shared" si="9"/>
        <v>2.9305233129699997</v>
      </c>
      <c r="AA24" s="16"/>
      <c r="AB24" s="154" t="s">
        <v>153</v>
      </c>
      <c r="AC24" s="40" t="s">
        <v>63</v>
      </c>
      <c r="AD24" s="41">
        <v>20</v>
      </c>
      <c r="AE24" s="41">
        <v>250</v>
      </c>
      <c r="AF24" s="63">
        <f t="shared" si="24"/>
        <v>5</v>
      </c>
      <c r="AG24" s="88">
        <f t="shared" si="25"/>
        <v>0.37340000000000001</v>
      </c>
      <c r="AH24" s="88"/>
      <c r="AI24" s="89">
        <f xml:space="preserve"> IF(   AC24 = "SM",      (AF24*$AF$6   +   $AE$86   +    $W$79),       IF(AC24 ="SCR",   ( AF24*$AF$7 + $L$93),     IF(AC24="4QSM", (   (AF24/$F$78)*$E$78  +  (AF24/$F$79) * $E$79),    "????")  )    )</f>
        <v>9.8500000000000014</v>
      </c>
      <c r="AJ24" s="63">
        <f t="shared" si="20"/>
        <v>148</v>
      </c>
      <c r="AK24" s="63">
        <f t="shared" si="10"/>
        <v>28.000000000000004</v>
      </c>
      <c r="AL24" s="88"/>
      <c r="AM24" s="89">
        <v>1.5</v>
      </c>
      <c r="AN24" s="63">
        <f t="shared" si="11"/>
        <v>8</v>
      </c>
      <c r="AO24" s="63">
        <f t="shared" si="12"/>
        <v>8</v>
      </c>
      <c r="AP24" s="63">
        <f t="shared" si="13"/>
        <v>17.142857142857142</v>
      </c>
      <c r="AQ24" s="90"/>
      <c r="AR24" s="270"/>
      <c r="AS24" s="97">
        <f t="shared" si="14"/>
        <v>3.3039233129699994</v>
      </c>
      <c r="AT24" s="89">
        <f t="shared" si="15"/>
        <v>3.6710259032999994</v>
      </c>
      <c r="AU24" s="159">
        <f t="shared" si="16"/>
        <v>4.4207922727601145</v>
      </c>
      <c r="AV24" s="232">
        <f t="shared" si="21"/>
        <v>78.482145499999987</v>
      </c>
      <c r="AW24" s="232">
        <f t="shared" si="22"/>
        <v>74.679999999999993</v>
      </c>
      <c r="AX24" s="155">
        <f t="shared" si="17"/>
        <v>2</v>
      </c>
      <c r="AY24" s="156">
        <f t="shared" si="18"/>
        <v>0</v>
      </c>
      <c r="BD24" s="2"/>
      <c r="BE24" s="2"/>
      <c r="BF24" s="2"/>
    </row>
    <row r="25" spans="1:59" s="3" customFormat="1" ht="15.95" customHeight="1" x14ac:dyDescent="0.2">
      <c r="A25" s="208" t="s">
        <v>202</v>
      </c>
      <c r="B25" s="192"/>
      <c r="C25" s="193" t="s">
        <v>20</v>
      </c>
      <c r="D25" s="194" t="s">
        <v>281</v>
      </c>
      <c r="E25" s="195" t="s">
        <v>167</v>
      </c>
      <c r="F25" s="63">
        <v>2</v>
      </c>
      <c r="G25" s="42">
        <v>7.7913999999999997E-2</v>
      </c>
      <c r="H25" s="324">
        <v>4.6356899999999999E-2</v>
      </c>
      <c r="I25" s="196"/>
      <c r="J25" s="197">
        <f t="shared" si="0"/>
        <v>500</v>
      </c>
      <c r="K25" s="41">
        <f t="shared" si="1"/>
        <v>2</v>
      </c>
      <c r="L25" s="50">
        <f t="shared" si="2"/>
        <v>2.5999999999999999E-2</v>
      </c>
      <c r="M25" s="41">
        <f xml:space="preserve"> 206 - $M$8 + $M$9+M14</f>
        <v>358</v>
      </c>
      <c r="N25" s="50">
        <f t="shared" si="3"/>
        <v>9.3080000000000003E-3</v>
      </c>
      <c r="O25" s="50"/>
      <c r="P25" s="51">
        <f t="shared" si="4"/>
        <v>8.0764800000000001</v>
      </c>
      <c r="Q25" s="51">
        <f t="shared" si="5"/>
        <v>5.1695199999999994</v>
      </c>
      <c r="R25" s="52">
        <f t="shared" si="6"/>
        <v>13.245999999999999</v>
      </c>
      <c r="S25" s="6"/>
      <c r="T25" s="66">
        <f t="shared" si="7"/>
        <v>0.1020218</v>
      </c>
      <c r="U25" s="63">
        <v>321.10000000000002</v>
      </c>
      <c r="V25" s="63">
        <f t="shared" si="8"/>
        <v>321.10000000000002</v>
      </c>
      <c r="W25" s="63">
        <v>0</v>
      </c>
      <c r="X25" s="67">
        <f t="shared" si="19"/>
        <v>32.759199979999998</v>
      </c>
      <c r="Y25" s="67">
        <f t="shared" si="23"/>
        <v>321.10000000000002</v>
      </c>
      <c r="Z25" s="68">
        <f t="shared" si="9"/>
        <v>10.518979113578</v>
      </c>
      <c r="AA25" s="16"/>
      <c r="AB25" s="154" t="s">
        <v>153</v>
      </c>
      <c r="AC25" s="40" t="s">
        <v>63</v>
      </c>
      <c r="AD25" s="41">
        <v>50</v>
      </c>
      <c r="AE25" s="41">
        <v>400</v>
      </c>
      <c r="AF25" s="63">
        <f t="shared" si="24"/>
        <v>20</v>
      </c>
      <c r="AG25" s="88">
        <f t="shared" si="25"/>
        <v>1.6055000000000001</v>
      </c>
      <c r="AH25" s="88"/>
      <c r="AI25" s="89">
        <f xml:space="preserve"> IF(   AC25 = "SM",      (AF25*$AF$6   +   $AE$86   +    $W$79),       IF(AC25 ="SCR",   ( AF25*$AF$7 + $L$93),     IF(AC25="4QSM", (   (AF25/$F$78)*$E$78  +  (AF25/$F$79) * $E$79),    "????")  )    )</f>
        <v>18.55</v>
      </c>
      <c r="AJ25" s="63">
        <f t="shared" si="20"/>
        <v>148</v>
      </c>
      <c r="AK25" s="63">
        <f t="shared" si="10"/>
        <v>28.000000000000004</v>
      </c>
      <c r="AL25" s="88"/>
      <c r="AM25" s="89">
        <v>1.5</v>
      </c>
      <c r="AN25" s="63">
        <f t="shared" si="11"/>
        <v>8</v>
      </c>
      <c r="AO25" s="63">
        <f t="shared" si="12"/>
        <v>8</v>
      </c>
      <c r="AP25" s="63">
        <f t="shared" si="13"/>
        <v>17.142857142857142</v>
      </c>
      <c r="AQ25" s="90"/>
      <c r="AR25" s="270"/>
      <c r="AS25" s="97">
        <f t="shared" si="14"/>
        <v>12.124479113578001</v>
      </c>
      <c r="AT25" s="89">
        <f t="shared" si="15"/>
        <v>13.471643459531112</v>
      </c>
      <c r="AU25" s="159">
        <f t="shared" si="16"/>
        <v>16.223077383828411</v>
      </c>
      <c r="AV25" s="232">
        <f t="shared" si="21"/>
        <v>65.518399959999996</v>
      </c>
      <c r="AW25" s="232">
        <f t="shared" si="22"/>
        <v>80.275000000000006</v>
      </c>
      <c r="AX25" s="155">
        <f t="shared" si="17"/>
        <v>4</v>
      </c>
      <c r="AY25" s="156">
        <f t="shared" si="18"/>
        <v>0</v>
      </c>
      <c r="BA25" s="2"/>
      <c r="BB25" s="2"/>
      <c r="BC25" s="2"/>
      <c r="BD25" s="2"/>
      <c r="BE25" s="2"/>
      <c r="BF25" s="2"/>
    </row>
    <row r="26" spans="1:59" s="3" customFormat="1" ht="15.95" customHeight="1" x14ac:dyDescent="0.2">
      <c r="A26" s="208" t="s">
        <v>203</v>
      </c>
      <c r="B26" s="192"/>
      <c r="C26" s="193" t="s">
        <v>20</v>
      </c>
      <c r="D26" s="194" t="s">
        <v>282</v>
      </c>
      <c r="E26" s="195" t="s">
        <v>167</v>
      </c>
      <c r="F26" s="63">
        <v>2</v>
      </c>
      <c r="G26" s="42">
        <v>7.7913999999999997E-2</v>
      </c>
      <c r="H26" s="324">
        <v>4.6356899999999999E-2</v>
      </c>
      <c r="I26" s="196"/>
      <c r="J26" s="197">
        <f t="shared" si="0"/>
        <v>500</v>
      </c>
      <c r="K26" s="41">
        <f t="shared" si="1"/>
        <v>1</v>
      </c>
      <c r="L26" s="50">
        <f t="shared" si="2"/>
        <v>2.5999999999999999E-2</v>
      </c>
      <c r="M26" s="41">
        <f xml:space="preserve"> 202 - $M$8 + $M$9+M14</f>
        <v>354</v>
      </c>
      <c r="N26" s="50">
        <f t="shared" si="3"/>
        <v>1.8407999999999997E-2</v>
      </c>
      <c r="O26" s="50"/>
      <c r="P26" s="51">
        <f t="shared" si="4"/>
        <v>3.9931199999999998</v>
      </c>
      <c r="Q26" s="51">
        <f t="shared" si="5"/>
        <v>2.5558800000000002</v>
      </c>
      <c r="R26" s="52">
        <f t="shared" si="6"/>
        <v>6.5489999999999995</v>
      </c>
      <c r="S26" s="6"/>
      <c r="T26" s="66">
        <f t="shared" si="7"/>
        <v>0.11112179999999999</v>
      </c>
      <c r="U26" s="63">
        <v>287.2</v>
      </c>
      <c r="V26" s="63">
        <f t="shared" si="8"/>
        <v>287.2</v>
      </c>
      <c r="W26" s="63">
        <v>0</v>
      </c>
      <c r="X26" s="67">
        <f t="shared" si="19"/>
        <v>31.914180959999996</v>
      </c>
      <c r="Y26" s="67">
        <f t="shared" si="23"/>
        <v>287.2</v>
      </c>
      <c r="Z26" s="68">
        <f t="shared" si="9"/>
        <v>9.1657527717119986</v>
      </c>
      <c r="AA26" s="16"/>
      <c r="AB26" s="154" t="s">
        <v>153</v>
      </c>
      <c r="AC26" s="40" t="s">
        <v>63</v>
      </c>
      <c r="AD26" s="41">
        <v>40</v>
      </c>
      <c r="AE26" s="41">
        <v>375</v>
      </c>
      <c r="AF26" s="63">
        <f t="shared" si="24"/>
        <v>15</v>
      </c>
      <c r="AG26" s="88">
        <f t="shared" si="25"/>
        <v>1.1488</v>
      </c>
      <c r="AH26" s="88"/>
      <c r="AI26" s="89">
        <f xml:space="preserve"> IF(   AC26 = "SM",      (AF26*$AF$6   +   $AE$86   +    $W$79),       IF(AC26 ="SCR",   ( AF26*$AF$7 + $L$93),     IF(AC26="4QSM", (   (AF26/$F$78)*$E$78  +  (AF26/$F$79) * $E$79),    "????")  )    )</f>
        <v>15.650000000000002</v>
      </c>
      <c r="AJ26" s="63">
        <f t="shared" si="20"/>
        <v>148</v>
      </c>
      <c r="AK26" s="63">
        <f t="shared" si="10"/>
        <v>28.000000000000004</v>
      </c>
      <c r="AL26" s="88"/>
      <c r="AM26" s="89">
        <v>1.5</v>
      </c>
      <c r="AN26" s="63">
        <f t="shared" si="11"/>
        <v>8</v>
      </c>
      <c r="AO26" s="63">
        <f t="shared" si="12"/>
        <v>8</v>
      </c>
      <c r="AP26" s="63">
        <f t="shared" si="13"/>
        <v>17.142857142857142</v>
      </c>
      <c r="AQ26" s="90"/>
      <c r="AR26" s="270"/>
      <c r="AS26" s="97">
        <f t="shared" si="14"/>
        <v>10.314552771711998</v>
      </c>
      <c r="AT26" s="89">
        <f>IF(    AC26="SM", AS26/$AF$4,     IF(    AC26="4QSM", AS26/$AF$4,    AS26/(X26/AD26)   )         )</f>
        <v>11.460614190791109</v>
      </c>
      <c r="AU26" s="159">
        <f t="shared" si="16"/>
        <v>13.801317667137656</v>
      </c>
      <c r="AV26" s="232">
        <f t="shared" si="21"/>
        <v>79.785452399999997</v>
      </c>
      <c r="AW26" s="232">
        <f t="shared" si="22"/>
        <v>76.586666666666659</v>
      </c>
      <c r="AX26" s="155">
        <f t="shared" si="17"/>
        <v>2</v>
      </c>
      <c r="AY26" s="156">
        <f t="shared" si="18"/>
        <v>0</v>
      </c>
      <c r="BE26" s="2"/>
      <c r="BF26" s="2"/>
    </row>
    <row r="27" spans="1:59" s="3" customFormat="1" ht="15.95" customHeight="1" x14ac:dyDescent="0.2">
      <c r="A27" s="207" t="s">
        <v>180</v>
      </c>
      <c r="B27" s="198"/>
      <c r="C27" s="201"/>
      <c r="D27" s="203"/>
      <c r="E27" s="195"/>
      <c r="F27" s="63"/>
      <c r="G27" s="40"/>
      <c r="H27" s="325"/>
      <c r="I27" s="196"/>
      <c r="J27" s="197"/>
      <c r="K27" s="41"/>
      <c r="L27" s="50"/>
      <c r="M27" s="41"/>
      <c r="N27" s="50"/>
      <c r="O27" s="50"/>
      <c r="P27" s="51"/>
      <c r="Q27" s="51"/>
      <c r="R27" s="52"/>
      <c r="S27" s="6"/>
      <c r="T27" s="66"/>
      <c r="U27" s="63"/>
      <c r="V27" s="63"/>
      <c r="W27" s="63"/>
      <c r="X27" s="67"/>
      <c r="Y27" s="67"/>
      <c r="Z27" s="68"/>
      <c r="AA27" s="16"/>
      <c r="AB27" s="171"/>
      <c r="AC27" s="40"/>
      <c r="AD27" s="172"/>
      <c r="AE27" s="172"/>
      <c r="AF27" s="173"/>
      <c r="AG27" s="88"/>
      <c r="AH27" s="88"/>
      <c r="AI27" s="89"/>
      <c r="AJ27" s="63"/>
      <c r="AK27" s="63"/>
      <c r="AL27" s="88"/>
      <c r="AM27" s="89"/>
      <c r="AN27" s="63"/>
      <c r="AO27" s="63"/>
      <c r="AP27" s="63"/>
      <c r="AQ27" s="90"/>
      <c r="AR27" s="270"/>
      <c r="AS27" s="280">
        <f>SUM(AS19:AS26)</f>
        <v>253.98134394293933</v>
      </c>
      <c r="AT27" s="281">
        <f>SUM(AT19:AT26)</f>
        <v>425.18236472993976</v>
      </c>
      <c r="AU27" s="282">
        <f>SUM(AU19:AU26)</f>
        <v>512.02115213143054</v>
      </c>
      <c r="AV27" s="232"/>
      <c r="AW27" s="232"/>
      <c r="AX27" s="283">
        <f>SUM(AX19:AX26)</f>
        <v>22</v>
      </c>
      <c r="AY27" s="284">
        <f>SUM(AY19:AY26)</f>
        <v>0</v>
      </c>
      <c r="BA27" s="188"/>
      <c r="BB27" s="241" t="s">
        <v>177</v>
      </c>
      <c r="BC27" s="243">
        <f>AS27</f>
        <v>253.98134394293933</v>
      </c>
      <c r="BD27" s="242" t="s">
        <v>54</v>
      </c>
      <c r="BE27" s="2"/>
      <c r="BF27" s="2"/>
    </row>
    <row r="28" spans="1:59" s="3" customFormat="1" ht="15.95" customHeight="1" x14ac:dyDescent="0.2">
      <c r="A28" s="268" t="s">
        <v>207</v>
      </c>
      <c r="B28" s="192"/>
      <c r="C28" s="193" t="s">
        <v>20</v>
      </c>
      <c r="D28" s="263" t="s">
        <v>249</v>
      </c>
      <c r="E28" s="195" t="s">
        <v>19</v>
      </c>
      <c r="F28" s="63">
        <v>5</v>
      </c>
      <c r="G28" s="42">
        <v>4.3020000000000003E-2</v>
      </c>
      <c r="H28" s="324">
        <v>3.2338499999999999E-2</v>
      </c>
      <c r="I28" s="196"/>
      <c r="J28" s="197">
        <f t="shared" ref="J28:J34" si="26" xml:space="preserve"> IF(Y28&gt;100, 500, 100)</f>
        <v>500</v>
      </c>
      <c r="K28" s="41">
        <f t="shared" ref="K28:K34" si="27" xml:space="preserve"> ROUNDUP(IF(J28=500, Y28/300, Y28/100),0)</f>
        <v>1</v>
      </c>
      <c r="L28" s="50">
        <f t="shared" ref="L28:L34" si="28">IF(J28=500, 0.026, 0.122)</f>
        <v>2.5999999999999999E-2</v>
      </c>
      <c r="M28" s="41">
        <f xml:space="preserve"> ( $M$13 - 256 ) + $M$6 + $M$7+M14</f>
        <v>314</v>
      </c>
      <c r="N28" s="50">
        <f t="shared" ref="N28:N34" si="29">2*M28*(L28/K28)/1000</f>
        <v>1.6327999999999999E-2</v>
      </c>
      <c r="O28" s="50"/>
      <c r="P28" s="51">
        <f t="shared" ref="P28:P34" si="30" xml:space="preserve"> IF(J28=500, (2 * K28 * M28 * $K$4/1000), (2 * K28 * M28 * $K$5/1000))</f>
        <v>3.5419199999999997</v>
      </c>
      <c r="Q28" s="51">
        <f t="shared" ref="Q28:Q34" si="31" xml:space="preserve"> IF(J28=500, (2 * K28 * M28 * $N$4/1000), (2 * K28 * M28 * $N$5/1000))</f>
        <v>2.26708</v>
      </c>
      <c r="R28" s="52">
        <f t="shared" ref="R28:R34" si="32" xml:space="preserve"> P28 + Q28</f>
        <v>5.8089999999999993</v>
      </c>
      <c r="S28" s="6"/>
      <c r="T28" s="66">
        <f t="shared" ref="T28:T34" si="33">(F28*H28+N28)</f>
        <v>0.1780205</v>
      </c>
      <c r="U28" s="63">
        <v>187</v>
      </c>
      <c r="V28" s="63">
        <f t="shared" ref="V28:V34" si="34">U28</f>
        <v>187</v>
      </c>
      <c r="W28" s="63">
        <v>0</v>
      </c>
      <c r="X28" s="67">
        <f t="shared" ref="X28:X34" si="35">T28*U28+F28*W28*G28</f>
        <v>33.2898335</v>
      </c>
      <c r="Y28" s="67">
        <f t="shared" si="23"/>
        <v>187</v>
      </c>
      <c r="Z28" s="68">
        <f t="shared" ref="Z28:Z34" si="36">U28*X28/1000</f>
        <v>6.2251988645000003</v>
      </c>
      <c r="AA28" s="16"/>
      <c r="AB28" s="175" t="s">
        <v>172</v>
      </c>
      <c r="AC28" s="40" t="s">
        <v>63</v>
      </c>
      <c r="AD28" s="41">
        <v>50</v>
      </c>
      <c r="AE28" s="41">
        <v>400</v>
      </c>
      <c r="AF28" s="63">
        <f t="shared" si="24"/>
        <v>20</v>
      </c>
      <c r="AG28" s="88">
        <f t="shared" si="25"/>
        <v>0.93500000000000005</v>
      </c>
      <c r="AH28" s="88"/>
      <c r="AI28" s="89">
        <f t="shared" ref="AI28:AI34" si="37" xml:space="preserve"> IF(   AC28 = "SM",      (AF28*$AF$6   +   $AE$86   +    $W$79),       IF(AC28 ="SCR",   ( AF28*$AF$7 + $L$93),     IF(AC28="4QSM", (   (AF28/$F$78)*$E$78  +  (AF28/$F$79) * $E$79),    "????")  )    )</f>
        <v>18.55</v>
      </c>
      <c r="AJ28" s="63">
        <f t="shared" ref="AJ28:AJ34" si="38" xml:space="preserve">  IF(   AC28="SM",     (  SUM($V$87:$V$88)  +  SUM($AF$89:$AF$90)   ) * 40,    IF(AC28="SCR",   ($V$88+$AF$90)*40,  IF(AC28="4QSM", (   (AF28/$F$78)*$E$82  +  (AF28/$F$79) * $E$83), "?????")       )       )</f>
        <v>148</v>
      </c>
      <c r="AK28" s="63">
        <f t="shared" ref="AK28:AK34" si="39" xml:space="preserve">  IF(   AC28="SM",     (  SUM($W$87:$W$88)  +  SUM($AG$89:$AG$90)   ) * 40,    IF(AC28="SCR",   ($W$88+$AG$90)*40,  IF(AC28="4QSM", (   (AF28/$F$78)*$E$85  +  (AF28/$F$79) * $E$86),  "?????")     )         )</f>
        <v>28.000000000000004</v>
      </c>
      <c r="AL28" s="88"/>
      <c r="AM28" s="89">
        <v>1.5</v>
      </c>
      <c r="AN28" s="63">
        <f t="shared" ref="AN28:AN34" si="40" xml:space="preserve"> $AF$91 *40</f>
        <v>8</v>
      </c>
      <c r="AO28" s="63">
        <f t="shared" ref="AO28:AO34" si="41" xml:space="preserve"> $AG$91 * 40</f>
        <v>8</v>
      </c>
      <c r="AP28" s="63">
        <f t="shared" ref="AP28:AP34" si="42" xml:space="preserve"> $W$81</f>
        <v>17.142857142857142</v>
      </c>
      <c r="AQ28" s="90"/>
      <c r="AR28" s="270"/>
      <c r="AS28" s="97">
        <f t="shared" ref="AS28:AS34" si="43">T28*Y28^2/1000+AG28</f>
        <v>7.1601988644999999</v>
      </c>
      <c r="AT28" s="89">
        <f t="shared" ref="AT28:AT34" si="44">IF(    AC28="SM", AS28/$AF$4,     IF(    AC28="4QSM", AS28/$AF$4,    AS28/(X28/AD28)   )         )</f>
        <v>7.9557765161111105</v>
      </c>
      <c r="AU28" s="159">
        <f t="shared" ref="AU28:AU34" si="45">(AT28*1000)/(480*1.73)</f>
        <v>9.5806557274941113</v>
      </c>
      <c r="AV28" s="232">
        <f t="shared" si="21"/>
        <v>66.579667000000001</v>
      </c>
      <c r="AW28" s="232">
        <f t="shared" si="22"/>
        <v>46.75</v>
      </c>
      <c r="AX28" s="155">
        <f t="shared" ref="AX28:AX33" si="46">IF(J28=500, (K28*2), 0)</f>
        <v>2</v>
      </c>
      <c r="AY28" s="156">
        <f t="shared" ref="AY28:AY33" si="47">IF((J28=100), (K28*2), 0)</f>
        <v>0</v>
      </c>
      <c r="BA28" s="188"/>
      <c r="BB28" s="241" t="s">
        <v>178</v>
      </c>
      <c r="BC28" s="244">
        <f>AT27</f>
        <v>425.18236472993976</v>
      </c>
      <c r="BD28" s="242" t="s">
        <v>17</v>
      </c>
      <c r="BE28" s="2"/>
      <c r="BF28" s="2"/>
    </row>
    <row r="29" spans="1:59" s="3" customFormat="1" ht="15.75" customHeight="1" x14ac:dyDescent="0.2">
      <c r="A29" s="268" t="s">
        <v>208</v>
      </c>
      <c r="B29" s="198"/>
      <c r="C29" s="193" t="s">
        <v>20</v>
      </c>
      <c r="D29" s="194" t="s">
        <v>250</v>
      </c>
      <c r="E29" s="195" t="s">
        <v>19</v>
      </c>
      <c r="F29" s="63">
        <v>1</v>
      </c>
      <c r="G29" s="42">
        <v>4.3020000000000003E-2</v>
      </c>
      <c r="H29" s="324">
        <v>3.2338499999999999E-2</v>
      </c>
      <c r="I29" s="196"/>
      <c r="J29" s="197">
        <f t="shared" si="26"/>
        <v>500</v>
      </c>
      <c r="K29" s="41">
        <f t="shared" si="27"/>
        <v>1</v>
      </c>
      <c r="L29" s="50">
        <f t="shared" si="28"/>
        <v>2.5999999999999999E-2</v>
      </c>
      <c r="M29" s="41">
        <f xml:space="preserve"> ( $M$13 - 345 ) + $M$6 + $M$7+M14</f>
        <v>225</v>
      </c>
      <c r="N29" s="50">
        <f t="shared" si="29"/>
        <v>1.1699999999999999E-2</v>
      </c>
      <c r="O29" s="50"/>
      <c r="P29" s="51">
        <f t="shared" si="30"/>
        <v>2.5379999999999998</v>
      </c>
      <c r="Q29" s="51">
        <f t="shared" si="31"/>
        <v>1.6245000000000001</v>
      </c>
      <c r="R29" s="52">
        <f t="shared" si="32"/>
        <v>4.1624999999999996</v>
      </c>
      <c r="S29" s="6"/>
      <c r="T29" s="66">
        <f t="shared" si="33"/>
        <v>4.4038499999999994E-2</v>
      </c>
      <c r="U29" s="63">
        <v>173.8</v>
      </c>
      <c r="V29" s="63">
        <f t="shared" si="34"/>
        <v>173.8</v>
      </c>
      <c r="W29" s="63">
        <v>0</v>
      </c>
      <c r="X29" s="67">
        <f t="shared" si="35"/>
        <v>7.6538912999999997</v>
      </c>
      <c r="Y29" s="67">
        <f t="shared" si="23"/>
        <v>173.8</v>
      </c>
      <c r="Z29" s="68">
        <f t="shared" si="36"/>
        <v>1.33024630794</v>
      </c>
      <c r="AA29" s="16"/>
      <c r="AB29" s="175" t="s">
        <v>172</v>
      </c>
      <c r="AC29" s="40" t="s">
        <v>63</v>
      </c>
      <c r="AD29" s="41">
        <v>20</v>
      </c>
      <c r="AE29" s="41">
        <v>250</v>
      </c>
      <c r="AF29" s="63">
        <f t="shared" si="24"/>
        <v>5</v>
      </c>
      <c r="AG29" s="88">
        <f t="shared" si="25"/>
        <v>0.34760000000000002</v>
      </c>
      <c r="AH29" s="88"/>
      <c r="AI29" s="89">
        <f t="shared" si="37"/>
        <v>9.8500000000000014</v>
      </c>
      <c r="AJ29" s="63">
        <f t="shared" si="38"/>
        <v>148</v>
      </c>
      <c r="AK29" s="63">
        <f t="shared" si="39"/>
        <v>28.000000000000004</v>
      </c>
      <c r="AL29" s="88"/>
      <c r="AM29" s="89">
        <v>1.5</v>
      </c>
      <c r="AN29" s="63">
        <f t="shared" si="40"/>
        <v>8</v>
      </c>
      <c r="AO29" s="63">
        <f t="shared" si="41"/>
        <v>8</v>
      </c>
      <c r="AP29" s="63">
        <f t="shared" si="42"/>
        <v>17.142857142857142</v>
      </c>
      <c r="AQ29" s="90"/>
      <c r="AR29" s="270"/>
      <c r="AS29" s="97">
        <f t="shared" si="43"/>
        <v>1.6778463079399999</v>
      </c>
      <c r="AT29" s="89">
        <f t="shared" si="44"/>
        <v>1.8642736754888887</v>
      </c>
      <c r="AU29" s="159">
        <f t="shared" si="45"/>
        <v>2.2450309194230358</v>
      </c>
      <c r="AV29" s="232">
        <f t="shared" si="21"/>
        <v>38.269456499999997</v>
      </c>
      <c r="AW29" s="232">
        <f t="shared" si="22"/>
        <v>69.52000000000001</v>
      </c>
      <c r="AX29" s="155">
        <f t="shared" si="46"/>
        <v>2</v>
      </c>
      <c r="AY29" s="156">
        <f t="shared" si="47"/>
        <v>0</v>
      </c>
      <c r="BA29" s="2"/>
      <c r="BE29" s="2"/>
      <c r="BF29" s="2"/>
    </row>
    <row r="30" spans="1:59" s="3" customFormat="1" ht="15.95" customHeight="1" x14ac:dyDescent="0.2">
      <c r="A30" s="268" t="s">
        <v>209</v>
      </c>
      <c r="B30" s="192"/>
      <c r="C30" s="193" t="s">
        <v>20</v>
      </c>
      <c r="D30" s="194" t="s">
        <v>251</v>
      </c>
      <c r="E30" s="195" t="s">
        <v>19</v>
      </c>
      <c r="F30" s="63">
        <v>1</v>
      </c>
      <c r="G30" s="42">
        <v>4.3020000000000003E-2</v>
      </c>
      <c r="H30" s="324">
        <v>3.2338499999999999E-2</v>
      </c>
      <c r="I30" s="196"/>
      <c r="J30" s="197">
        <f t="shared" si="26"/>
        <v>500</v>
      </c>
      <c r="K30" s="41">
        <f t="shared" si="27"/>
        <v>1</v>
      </c>
      <c r="L30" s="50">
        <f t="shared" si="28"/>
        <v>2.5999999999999999E-2</v>
      </c>
      <c r="M30" s="41">
        <f xml:space="preserve"> ( $M$13 - 362 ) + $M$6 + $M$7+M14</f>
        <v>208</v>
      </c>
      <c r="N30" s="50">
        <f t="shared" si="29"/>
        <v>1.0815999999999999E-2</v>
      </c>
      <c r="O30" s="50"/>
      <c r="P30" s="51">
        <f t="shared" si="30"/>
        <v>2.3462399999999999</v>
      </c>
      <c r="Q30" s="51">
        <f t="shared" si="31"/>
        <v>1.50176</v>
      </c>
      <c r="R30" s="52">
        <f t="shared" si="32"/>
        <v>3.8479999999999999</v>
      </c>
      <c r="S30" s="6"/>
      <c r="T30" s="66">
        <f t="shared" si="33"/>
        <v>4.3154499999999998E-2</v>
      </c>
      <c r="U30" s="63">
        <v>115.3</v>
      </c>
      <c r="V30" s="63">
        <f t="shared" si="34"/>
        <v>115.3</v>
      </c>
      <c r="W30" s="63">
        <v>0</v>
      </c>
      <c r="X30" s="67">
        <f t="shared" si="35"/>
        <v>4.97571385</v>
      </c>
      <c r="Y30" s="67">
        <f t="shared" si="23"/>
        <v>115.3</v>
      </c>
      <c r="Z30" s="68">
        <f t="shared" si="36"/>
        <v>0.573699806905</v>
      </c>
      <c r="AA30" s="16"/>
      <c r="AB30" s="175" t="s">
        <v>172</v>
      </c>
      <c r="AC30" s="40" t="s">
        <v>63</v>
      </c>
      <c r="AD30" s="41">
        <v>20</v>
      </c>
      <c r="AE30" s="41">
        <v>250</v>
      </c>
      <c r="AF30" s="63">
        <f t="shared" si="24"/>
        <v>5</v>
      </c>
      <c r="AG30" s="88">
        <f t="shared" si="25"/>
        <v>0.23060000000000003</v>
      </c>
      <c r="AH30" s="88"/>
      <c r="AI30" s="89">
        <f t="shared" si="37"/>
        <v>9.8500000000000014</v>
      </c>
      <c r="AJ30" s="63">
        <f t="shared" si="38"/>
        <v>148</v>
      </c>
      <c r="AK30" s="63">
        <f t="shared" si="39"/>
        <v>28.000000000000004</v>
      </c>
      <c r="AL30" s="88"/>
      <c r="AM30" s="89">
        <v>1.5</v>
      </c>
      <c r="AN30" s="63">
        <f t="shared" si="40"/>
        <v>8</v>
      </c>
      <c r="AO30" s="63">
        <f t="shared" si="41"/>
        <v>8</v>
      </c>
      <c r="AP30" s="63">
        <f t="shared" si="42"/>
        <v>17.142857142857142</v>
      </c>
      <c r="AQ30" s="90"/>
      <c r="AR30" s="270"/>
      <c r="AS30" s="97">
        <f t="shared" si="43"/>
        <v>0.80429980690500003</v>
      </c>
      <c r="AT30" s="89">
        <f t="shared" si="44"/>
        <v>0.89366645211666662</v>
      </c>
      <c r="AU30" s="159">
        <f t="shared" si="45"/>
        <v>1.0761879240325947</v>
      </c>
      <c r="AV30" s="232">
        <f t="shared" si="21"/>
        <v>24.878569249999998</v>
      </c>
      <c r="AW30" s="232">
        <f t="shared" si="22"/>
        <v>46.12</v>
      </c>
      <c r="AX30" s="155">
        <f t="shared" si="46"/>
        <v>2</v>
      </c>
      <c r="AY30" s="156">
        <f t="shared" si="47"/>
        <v>0</v>
      </c>
      <c r="BA30" s="2"/>
      <c r="BB30" s="2"/>
      <c r="BC30" s="2"/>
      <c r="BD30" s="2"/>
      <c r="BE30" s="2"/>
      <c r="BF30" s="2"/>
    </row>
    <row r="31" spans="1:59" s="3" customFormat="1" ht="15.95" customHeight="1" x14ac:dyDescent="0.2">
      <c r="A31" s="268" t="s">
        <v>210</v>
      </c>
      <c r="B31" s="192"/>
      <c r="C31" s="193" t="s">
        <v>20</v>
      </c>
      <c r="D31" s="194" t="s">
        <v>252</v>
      </c>
      <c r="E31" s="195" t="s">
        <v>19</v>
      </c>
      <c r="F31" s="63">
        <v>1</v>
      </c>
      <c r="G31" s="42">
        <v>4.3020000000000003E-2</v>
      </c>
      <c r="H31" s="324">
        <v>3.2338499999999999E-2</v>
      </c>
      <c r="I31" s="196"/>
      <c r="J31" s="197">
        <f t="shared" si="26"/>
        <v>500</v>
      </c>
      <c r="K31" s="41">
        <f t="shared" si="27"/>
        <v>1</v>
      </c>
      <c r="L31" s="50">
        <f t="shared" si="28"/>
        <v>2.5999999999999999E-2</v>
      </c>
      <c r="M31" s="41">
        <f xml:space="preserve"> ( $M$13 - 365 ) + $M$6 + $M$7+M14</f>
        <v>205</v>
      </c>
      <c r="N31" s="50">
        <f t="shared" si="29"/>
        <v>1.0659999999999999E-2</v>
      </c>
      <c r="O31" s="50"/>
      <c r="P31" s="51">
        <f t="shared" si="30"/>
        <v>2.3124000000000002</v>
      </c>
      <c r="Q31" s="51">
        <f t="shared" si="31"/>
        <v>1.4801</v>
      </c>
      <c r="R31" s="52">
        <f t="shared" si="32"/>
        <v>3.7925000000000004</v>
      </c>
      <c r="S31" s="6"/>
      <c r="T31" s="66">
        <f t="shared" si="33"/>
        <v>4.2998499999999995E-2</v>
      </c>
      <c r="U31" s="63">
        <v>107.8</v>
      </c>
      <c r="V31" s="63">
        <f t="shared" si="34"/>
        <v>107.8</v>
      </c>
      <c r="W31" s="63">
        <v>0</v>
      </c>
      <c r="X31" s="67">
        <f t="shared" si="35"/>
        <v>4.6352382999999993</v>
      </c>
      <c r="Y31" s="67">
        <f t="shared" si="23"/>
        <v>107.8</v>
      </c>
      <c r="Z31" s="68">
        <f t="shared" si="36"/>
        <v>0.49967868873999993</v>
      </c>
      <c r="AA31" s="16"/>
      <c r="AB31" s="175" t="s">
        <v>172</v>
      </c>
      <c r="AC31" s="40" t="s">
        <v>63</v>
      </c>
      <c r="AD31" s="41">
        <v>20</v>
      </c>
      <c r="AE31" s="41">
        <v>250</v>
      </c>
      <c r="AF31" s="63">
        <f t="shared" si="24"/>
        <v>5</v>
      </c>
      <c r="AG31" s="88">
        <f t="shared" si="25"/>
        <v>0.21560000000000001</v>
      </c>
      <c r="AH31" s="88"/>
      <c r="AI31" s="89">
        <f t="shared" si="37"/>
        <v>9.8500000000000014</v>
      </c>
      <c r="AJ31" s="63">
        <f t="shared" si="38"/>
        <v>148</v>
      </c>
      <c r="AK31" s="63">
        <f t="shared" si="39"/>
        <v>28.000000000000004</v>
      </c>
      <c r="AL31" s="88"/>
      <c r="AM31" s="89">
        <v>1.5</v>
      </c>
      <c r="AN31" s="63">
        <f t="shared" si="40"/>
        <v>8</v>
      </c>
      <c r="AO31" s="63">
        <f t="shared" si="41"/>
        <v>8</v>
      </c>
      <c r="AP31" s="63">
        <f t="shared" si="42"/>
        <v>17.142857142857142</v>
      </c>
      <c r="AQ31" s="90"/>
      <c r="AR31" s="270"/>
      <c r="AS31" s="97">
        <f t="shared" si="43"/>
        <v>0.71527868874</v>
      </c>
      <c r="AT31" s="89">
        <f t="shared" si="44"/>
        <v>0.79475409860000001</v>
      </c>
      <c r="AU31" s="159">
        <f t="shared" si="45"/>
        <v>0.95707381815992298</v>
      </c>
      <c r="AV31" s="232">
        <f t="shared" si="21"/>
        <v>23.176191499999995</v>
      </c>
      <c r="AW31" s="232">
        <f t="shared" si="22"/>
        <v>43.12</v>
      </c>
      <c r="AX31" s="155">
        <f t="shared" si="46"/>
        <v>2</v>
      </c>
      <c r="AY31" s="156">
        <f t="shared" si="47"/>
        <v>0</v>
      </c>
      <c r="BA31" s="2"/>
      <c r="BB31" s="2"/>
      <c r="BC31" s="2"/>
      <c r="BD31" s="2"/>
      <c r="BE31" s="2"/>
      <c r="BF31" s="2"/>
    </row>
    <row r="32" spans="1:59" s="3" customFormat="1" ht="15.95" customHeight="1" x14ac:dyDescent="0.2">
      <c r="A32" s="268" t="s">
        <v>211</v>
      </c>
      <c r="B32" s="192"/>
      <c r="C32" s="193" t="s">
        <v>20</v>
      </c>
      <c r="D32" s="194" t="s">
        <v>253</v>
      </c>
      <c r="E32" s="195" t="s">
        <v>19</v>
      </c>
      <c r="F32" s="63">
        <v>1</v>
      </c>
      <c r="G32" s="42">
        <v>4.3020000000000003E-2</v>
      </c>
      <c r="H32" s="324">
        <v>3.2338499999999999E-2</v>
      </c>
      <c r="I32" s="196"/>
      <c r="J32" s="197">
        <f t="shared" si="26"/>
        <v>500</v>
      </c>
      <c r="K32" s="41">
        <f t="shared" si="27"/>
        <v>1</v>
      </c>
      <c r="L32" s="50">
        <f t="shared" si="28"/>
        <v>2.5999999999999999E-2</v>
      </c>
      <c r="M32" s="41">
        <f xml:space="preserve"> ( $M$13 - 387 ) + $M$6 + $M$7+M14</f>
        <v>183</v>
      </c>
      <c r="N32" s="50">
        <f t="shared" si="29"/>
        <v>9.5160000000000002E-3</v>
      </c>
      <c r="O32" s="50"/>
      <c r="P32" s="51">
        <f t="shared" si="30"/>
        <v>2.0642399999999999</v>
      </c>
      <c r="Q32" s="51">
        <f t="shared" si="31"/>
        <v>1.3212600000000001</v>
      </c>
      <c r="R32" s="52">
        <f t="shared" si="32"/>
        <v>3.3855</v>
      </c>
      <c r="S32" s="6"/>
      <c r="T32" s="66">
        <f t="shared" si="33"/>
        <v>4.1854500000000003E-2</v>
      </c>
      <c r="U32" s="63">
        <v>107.8</v>
      </c>
      <c r="V32" s="63">
        <f t="shared" si="34"/>
        <v>107.8</v>
      </c>
      <c r="W32" s="63">
        <v>0</v>
      </c>
      <c r="X32" s="67">
        <f t="shared" si="35"/>
        <v>4.5119151000000004</v>
      </c>
      <c r="Y32" s="67">
        <f t="shared" si="23"/>
        <v>107.8</v>
      </c>
      <c r="Z32" s="68">
        <f t="shared" si="36"/>
        <v>0.48638444778000001</v>
      </c>
      <c r="AA32" s="16"/>
      <c r="AB32" s="175" t="s">
        <v>172</v>
      </c>
      <c r="AC32" s="40" t="s">
        <v>63</v>
      </c>
      <c r="AD32" s="41">
        <v>20</v>
      </c>
      <c r="AE32" s="41">
        <v>250</v>
      </c>
      <c r="AF32" s="63">
        <f t="shared" si="24"/>
        <v>5</v>
      </c>
      <c r="AG32" s="88">
        <f t="shared" si="25"/>
        <v>0.21560000000000001</v>
      </c>
      <c r="AH32" s="88"/>
      <c r="AI32" s="89">
        <f t="shared" si="37"/>
        <v>9.8500000000000014</v>
      </c>
      <c r="AJ32" s="63">
        <f t="shared" si="38"/>
        <v>148</v>
      </c>
      <c r="AK32" s="63">
        <f t="shared" si="39"/>
        <v>28.000000000000004</v>
      </c>
      <c r="AL32" s="88"/>
      <c r="AM32" s="89">
        <v>1.5</v>
      </c>
      <c r="AN32" s="63">
        <f t="shared" si="40"/>
        <v>8</v>
      </c>
      <c r="AO32" s="63">
        <f t="shared" si="41"/>
        <v>8</v>
      </c>
      <c r="AP32" s="63">
        <f t="shared" si="42"/>
        <v>17.142857142857142</v>
      </c>
      <c r="AQ32" s="90"/>
      <c r="AR32" s="270"/>
      <c r="AS32" s="97">
        <f t="shared" si="43"/>
        <v>0.70198444778000002</v>
      </c>
      <c r="AT32" s="89">
        <f t="shared" si="44"/>
        <v>0.77998271975555555</v>
      </c>
      <c r="AU32" s="159">
        <f t="shared" si="45"/>
        <v>0.93928554883857851</v>
      </c>
      <c r="AV32" s="232">
        <f t="shared" si="21"/>
        <v>22.559575500000001</v>
      </c>
      <c r="AW32" s="232">
        <f t="shared" si="22"/>
        <v>43.12</v>
      </c>
      <c r="AX32" s="155">
        <f t="shared" si="46"/>
        <v>2</v>
      </c>
      <c r="AY32" s="156">
        <f t="shared" si="47"/>
        <v>0</v>
      </c>
      <c r="BA32" s="2"/>
      <c r="BB32" s="2"/>
      <c r="BC32" s="2"/>
      <c r="BD32" s="2"/>
      <c r="BE32" s="2"/>
      <c r="BF32" s="2"/>
    </row>
    <row r="33" spans="1:59" s="3" customFormat="1" ht="15.95" customHeight="1" x14ac:dyDescent="0.2">
      <c r="A33" s="268" t="s">
        <v>212</v>
      </c>
      <c r="B33" s="198"/>
      <c r="C33" s="193" t="s">
        <v>20</v>
      </c>
      <c r="D33" s="194" t="s">
        <v>254</v>
      </c>
      <c r="E33" s="195" t="s">
        <v>217</v>
      </c>
      <c r="F33" s="63">
        <v>1</v>
      </c>
      <c r="G33" s="264">
        <v>6.0227999999999997E-2</v>
      </c>
      <c r="H33" s="324">
        <v>3.92517E-2</v>
      </c>
      <c r="I33" s="196"/>
      <c r="J33" s="197">
        <f t="shared" si="26"/>
        <v>500</v>
      </c>
      <c r="K33" s="41">
        <f t="shared" si="27"/>
        <v>1</v>
      </c>
      <c r="L33" s="50">
        <f t="shared" si="28"/>
        <v>2.5999999999999999E-2</v>
      </c>
      <c r="M33" s="41">
        <f xml:space="preserve"> ( $M$13 - 416 ) + $M$6 + $M$7+M14</f>
        <v>154</v>
      </c>
      <c r="N33" s="50">
        <f t="shared" si="29"/>
        <v>8.0079999999999995E-3</v>
      </c>
      <c r="O33" s="50"/>
      <c r="P33" s="51">
        <f t="shared" si="30"/>
        <v>1.73712</v>
      </c>
      <c r="Q33" s="51">
        <f t="shared" si="31"/>
        <v>1.11188</v>
      </c>
      <c r="R33" s="52">
        <f t="shared" si="32"/>
        <v>2.8490000000000002</v>
      </c>
      <c r="S33" s="6"/>
      <c r="T33" s="66">
        <f t="shared" si="33"/>
        <v>4.7259700000000002E-2</v>
      </c>
      <c r="U33" s="63">
        <v>203.5</v>
      </c>
      <c r="V33" s="63">
        <f t="shared" si="34"/>
        <v>203.5</v>
      </c>
      <c r="W33" s="63">
        <v>0</v>
      </c>
      <c r="X33" s="67">
        <f t="shared" si="35"/>
        <v>9.6173489500000002</v>
      </c>
      <c r="Y33" s="67">
        <f t="shared" si="23"/>
        <v>203.5</v>
      </c>
      <c r="Z33" s="68">
        <f t="shared" si="36"/>
        <v>1.9571305113249999</v>
      </c>
      <c r="AA33" s="16"/>
      <c r="AB33" s="175" t="s">
        <v>172</v>
      </c>
      <c r="AC33" s="40" t="s">
        <v>63</v>
      </c>
      <c r="AD33" s="41">
        <v>32</v>
      </c>
      <c r="AE33" s="41">
        <v>300</v>
      </c>
      <c r="AF33" s="63">
        <f t="shared" si="24"/>
        <v>9.6</v>
      </c>
      <c r="AG33" s="88">
        <f t="shared" si="25"/>
        <v>0.6512</v>
      </c>
      <c r="AH33" s="88"/>
      <c r="AI33" s="89">
        <f t="shared" si="37"/>
        <v>12.518000000000001</v>
      </c>
      <c r="AJ33" s="63">
        <f t="shared" si="38"/>
        <v>148</v>
      </c>
      <c r="AK33" s="63">
        <f t="shared" si="39"/>
        <v>28.000000000000004</v>
      </c>
      <c r="AL33" s="88"/>
      <c r="AM33" s="89">
        <v>1.5</v>
      </c>
      <c r="AN33" s="63">
        <f t="shared" si="40"/>
        <v>8</v>
      </c>
      <c r="AO33" s="63">
        <f t="shared" si="41"/>
        <v>8</v>
      </c>
      <c r="AP33" s="63">
        <f t="shared" si="42"/>
        <v>17.142857142857142</v>
      </c>
      <c r="AQ33" s="90"/>
      <c r="AR33" s="270"/>
      <c r="AS33" s="97">
        <f t="shared" si="43"/>
        <v>2.6083305113249997</v>
      </c>
      <c r="AT33" s="89">
        <f t="shared" si="44"/>
        <v>2.898145012583333</v>
      </c>
      <c r="AU33" s="159">
        <f t="shared" si="45"/>
        <v>3.4900590228604687</v>
      </c>
      <c r="AV33" s="232">
        <f t="shared" si="21"/>
        <v>30.054215468750002</v>
      </c>
      <c r="AW33" s="232">
        <f t="shared" si="22"/>
        <v>67.833333333333329</v>
      </c>
      <c r="AX33" s="155">
        <f t="shared" si="46"/>
        <v>2</v>
      </c>
      <c r="AY33" s="156">
        <f t="shared" si="47"/>
        <v>0</v>
      </c>
      <c r="BA33" s="2"/>
      <c r="BB33" s="2"/>
      <c r="BC33" s="2"/>
      <c r="BD33" s="2"/>
      <c r="BE33" s="2"/>
      <c r="BF33" s="2"/>
    </row>
    <row r="34" spans="1:59" s="3" customFormat="1" ht="15.95" customHeight="1" x14ac:dyDescent="0.2">
      <c r="A34" s="268" t="s">
        <v>240</v>
      </c>
      <c r="B34" s="198"/>
      <c r="C34" s="193" t="s">
        <v>20</v>
      </c>
      <c r="D34" s="194" t="s">
        <v>255</v>
      </c>
      <c r="E34" s="195" t="s">
        <v>19</v>
      </c>
      <c r="F34" s="63">
        <v>1</v>
      </c>
      <c r="G34" s="42">
        <v>4.3020000000000003E-2</v>
      </c>
      <c r="H34" s="324">
        <v>3.2338499999999999E-2</v>
      </c>
      <c r="I34" s="196"/>
      <c r="J34" s="197">
        <f t="shared" si="26"/>
        <v>500</v>
      </c>
      <c r="K34" s="41">
        <f t="shared" si="27"/>
        <v>1</v>
      </c>
      <c r="L34" s="50">
        <f t="shared" si="28"/>
        <v>2.5999999999999999E-2</v>
      </c>
      <c r="M34" s="41">
        <f xml:space="preserve"> ( $M$13 - 436 ) + $M$6 + $M$7+M14</f>
        <v>134</v>
      </c>
      <c r="N34" s="50">
        <f t="shared" si="29"/>
        <v>6.9680000000000002E-3</v>
      </c>
      <c r="O34" s="50"/>
      <c r="P34" s="51">
        <f t="shared" si="30"/>
        <v>1.51152</v>
      </c>
      <c r="Q34" s="51">
        <f t="shared" si="31"/>
        <v>0.96748000000000001</v>
      </c>
      <c r="R34" s="52">
        <f t="shared" si="32"/>
        <v>2.4790000000000001</v>
      </c>
      <c r="S34" s="6"/>
      <c r="T34" s="66">
        <f t="shared" si="33"/>
        <v>3.9306500000000001E-2</v>
      </c>
      <c r="U34" s="63">
        <v>142.5</v>
      </c>
      <c r="V34" s="63">
        <f t="shared" si="34"/>
        <v>142.5</v>
      </c>
      <c r="W34" s="63">
        <v>0</v>
      </c>
      <c r="X34" s="67">
        <f t="shared" si="35"/>
        <v>5.60117625</v>
      </c>
      <c r="Y34" s="67">
        <f>SQRT(V34^2 + V34*(U34-V34) + (1/3)*(U34-V34)^2)</f>
        <v>142.5</v>
      </c>
      <c r="Z34" s="68">
        <f t="shared" si="36"/>
        <v>0.79816761562499994</v>
      </c>
      <c r="AA34" s="16"/>
      <c r="AB34" s="175" t="s">
        <v>172</v>
      </c>
      <c r="AC34" s="40" t="s">
        <v>63</v>
      </c>
      <c r="AD34" s="41">
        <v>20</v>
      </c>
      <c r="AE34" s="41">
        <v>250</v>
      </c>
      <c r="AF34" s="63">
        <f>AD34*AE34/1000</f>
        <v>5</v>
      </c>
      <c r="AG34" s="88">
        <f>$AF$3*(AD34*Y34)/1000</f>
        <v>0.28499999999999998</v>
      </c>
      <c r="AH34" s="88"/>
      <c r="AI34" s="89">
        <f t="shared" si="37"/>
        <v>9.8500000000000014</v>
      </c>
      <c r="AJ34" s="63">
        <f t="shared" si="38"/>
        <v>148</v>
      </c>
      <c r="AK34" s="63">
        <f t="shared" si="39"/>
        <v>28.000000000000004</v>
      </c>
      <c r="AL34" s="88"/>
      <c r="AM34" s="89">
        <v>1.5</v>
      </c>
      <c r="AN34" s="63">
        <f t="shared" si="40"/>
        <v>8</v>
      </c>
      <c r="AO34" s="63">
        <f t="shared" si="41"/>
        <v>8</v>
      </c>
      <c r="AP34" s="63">
        <f t="shared" si="42"/>
        <v>17.142857142857142</v>
      </c>
      <c r="AQ34" s="90"/>
      <c r="AR34" s="270"/>
      <c r="AS34" s="97">
        <f t="shared" si="43"/>
        <v>1.0831676156250001</v>
      </c>
      <c r="AT34" s="89">
        <f t="shared" si="44"/>
        <v>1.2035195729166668</v>
      </c>
      <c r="AU34" s="159">
        <f t="shared" si="45"/>
        <v>1.4493251118938664</v>
      </c>
      <c r="AV34" s="232">
        <f>X34/AD34*100</f>
        <v>28.005881249999998</v>
      </c>
      <c r="AW34" s="232">
        <f>Y34/AE34*100</f>
        <v>56.999999999999993</v>
      </c>
      <c r="AX34" s="155">
        <f t="shared" ref="AX34:AX40" si="48">IF(J34=500, (K34*2), 0)</f>
        <v>2</v>
      </c>
      <c r="AY34" s="156">
        <f t="shared" ref="AY34:AY40" si="49">IF((J34=100), (K34*2), 0)</f>
        <v>0</v>
      </c>
      <c r="BA34" s="2"/>
      <c r="BB34" s="2"/>
      <c r="BC34" s="2"/>
      <c r="BD34" s="2"/>
      <c r="BE34" s="2"/>
      <c r="BF34" s="2"/>
    </row>
    <row r="35" spans="1:59" s="3" customFormat="1" ht="15.95" customHeight="1" x14ac:dyDescent="0.2">
      <c r="A35" s="299"/>
      <c r="B35" s="198"/>
      <c r="C35" s="300" t="s">
        <v>248</v>
      </c>
      <c r="D35" s="194"/>
      <c r="E35" s="195"/>
      <c r="F35" s="63"/>
      <c r="G35" s="264"/>
      <c r="H35" s="324"/>
      <c r="I35" s="196"/>
      <c r="J35" s="197"/>
      <c r="K35" s="41"/>
      <c r="L35" s="50"/>
      <c r="M35" s="41"/>
      <c r="N35" s="50"/>
      <c r="O35" s="50"/>
      <c r="P35" s="51"/>
      <c r="Q35" s="51"/>
      <c r="R35" s="52"/>
      <c r="S35" s="6"/>
      <c r="T35" s="66"/>
      <c r="U35" s="63"/>
      <c r="V35" s="63"/>
      <c r="W35" s="63"/>
      <c r="X35" s="67"/>
      <c r="Y35" s="67"/>
      <c r="Z35" s="68"/>
      <c r="AA35" s="16"/>
      <c r="AB35" s="174"/>
      <c r="AC35" s="40"/>
      <c r="AD35" s="41"/>
      <c r="AE35" s="41"/>
      <c r="AF35" s="63"/>
      <c r="AG35" s="88"/>
      <c r="AH35" s="88"/>
      <c r="AI35" s="89"/>
      <c r="AJ35" s="63"/>
      <c r="AK35" s="63"/>
      <c r="AL35" s="88"/>
      <c r="AM35" s="89"/>
      <c r="AN35" s="63"/>
      <c r="AO35" s="63"/>
      <c r="AP35" s="63"/>
      <c r="AQ35" s="90"/>
      <c r="AR35" s="270"/>
      <c r="AS35" s="97"/>
      <c r="AT35" s="89"/>
      <c r="AU35" s="159"/>
      <c r="AV35" s="232"/>
      <c r="AW35" s="232"/>
      <c r="AX35" s="155"/>
      <c r="AY35" s="156"/>
      <c r="BA35" s="2"/>
      <c r="BB35" s="2"/>
      <c r="BC35" s="2"/>
      <c r="BD35" s="2"/>
      <c r="BE35" s="2"/>
      <c r="BF35" s="2"/>
    </row>
    <row r="36" spans="1:59" s="3" customFormat="1" ht="15.95" customHeight="1" x14ac:dyDescent="0.2">
      <c r="A36" s="299"/>
      <c r="B36" s="198"/>
      <c r="C36" s="300" t="s">
        <v>248</v>
      </c>
      <c r="D36" s="194"/>
      <c r="E36" s="195"/>
      <c r="F36" s="63"/>
      <c r="G36" s="264"/>
      <c r="H36" s="324"/>
      <c r="I36" s="196"/>
      <c r="J36" s="197"/>
      <c r="K36" s="41"/>
      <c r="L36" s="50"/>
      <c r="M36" s="41"/>
      <c r="N36" s="50"/>
      <c r="O36" s="50"/>
      <c r="P36" s="51"/>
      <c r="Q36" s="51"/>
      <c r="R36" s="52"/>
      <c r="S36" s="6"/>
      <c r="T36" s="66"/>
      <c r="U36" s="63"/>
      <c r="V36" s="63"/>
      <c r="W36" s="63"/>
      <c r="X36" s="67"/>
      <c r="Y36" s="67"/>
      <c r="Z36" s="68"/>
      <c r="AA36" s="16"/>
      <c r="AB36" s="174"/>
      <c r="AC36" s="40"/>
      <c r="AD36" s="41"/>
      <c r="AE36" s="41"/>
      <c r="AF36" s="63"/>
      <c r="AG36" s="88"/>
      <c r="AH36" s="88"/>
      <c r="AI36" s="89"/>
      <c r="AJ36" s="63"/>
      <c r="AK36" s="63"/>
      <c r="AL36" s="88"/>
      <c r="AM36" s="89"/>
      <c r="AN36" s="63"/>
      <c r="AO36" s="63"/>
      <c r="AP36" s="63"/>
      <c r="AQ36" s="90"/>
      <c r="AR36" s="270"/>
      <c r="AS36" s="97"/>
      <c r="AT36" s="89"/>
      <c r="AU36" s="159"/>
      <c r="AV36" s="232"/>
      <c r="AW36" s="232"/>
      <c r="AX36" s="155"/>
      <c r="AY36" s="156"/>
      <c r="BA36" s="2"/>
      <c r="BB36" s="2"/>
      <c r="BC36" s="2"/>
      <c r="BD36" s="2"/>
      <c r="BE36" s="2"/>
      <c r="BF36" s="2"/>
    </row>
    <row r="37" spans="1:59" s="3" customFormat="1" ht="15.95" customHeight="1" x14ac:dyDescent="0.2">
      <c r="A37" s="268" t="s">
        <v>241</v>
      </c>
      <c r="B37" s="198"/>
      <c r="C37" s="193" t="s">
        <v>20</v>
      </c>
      <c r="D37" s="194" t="s">
        <v>256</v>
      </c>
      <c r="E37" s="195" t="s">
        <v>19</v>
      </c>
      <c r="F37" s="63">
        <v>1</v>
      </c>
      <c r="G37" s="42">
        <v>4.3020000000000003E-2</v>
      </c>
      <c r="H37" s="324">
        <v>3.2338499999999999E-2</v>
      </c>
      <c r="I37" s="196"/>
      <c r="J37" s="197">
        <f t="shared" ref="J37:J46" si="50" xml:space="preserve"> IF(Y37&gt;100, 500, 100)</f>
        <v>500</v>
      </c>
      <c r="K37" s="41">
        <f t="shared" ref="K37:K46" si="51" xml:space="preserve"> ROUNDUP(IF(J37=500, Y37/300, Y37/100),0)</f>
        <v>1</v>
      </c>
      <c r="L37" s="50">
        <f t="shared" ref="L37:L46" si="52">IF(J37=500, 0.026, 0.122)</f>
        <v>2.5999999999999999E-2</v>
      </c>
      <c r="M37" s="41">
        <f xml:space="preserve"> ( $M$13 - 463 ) + $M$6 + $M$7+M14</f>
        <v>107</v>
      </c>
      <c r="N37" s="50">
        <f t="shared" ref="N37:N46" si="53">2*M37*(L37/K37)/1000</f>
        <v>5.5640000000000004E-3</v>
      </c>
      <c r="O37" s="50"/>
      <c r="P37" s="258">
        <f t="shared" ref="P37:P46" si="54" xml:space="preserve"> IF(J37=500, (2 * K37 * M37 * $K$4/1000), (2 * K37 * M37 * $K$5/1000))</f>
        <v>1.20696</v>
      </c>
      <c r="Q37" s="258">
        <f t="shared" ref="Q37:Q46" si="55" xml:space="preserve"> IF(J37=500, (2 * K37 * M37 * $N$4/1000), (2 * K37 * M37 * $N$5/1000))</f>
        <v>0.77254</v>
      </c>
      <c r="R37" s="259">
        <f t="shared" ref="R37:R46" si="56" xml:space="preserve"> P37 + Q37</f>
        <v>1.9795</v>
      </c>
      <c r="S37" s="260"/>
      <c r="T37" s="261">
        <f t="shared" ref="T37:T46" si="57">(F37*H37+N37)</f>
        <v>3.7902499999999999E-2</v>
      </c>
      <c r="U37" s="178">
        <v>154.9</v>
      </c>
      <c r="V37" s="178">
        <f t="shared" ref="V37:V46" si="58">U37</f>
        <v>154.9</v>
      </c>
      <c r="W37" s="178">
        <v>0</v>
      </c>
      <c r="X37" s="215">
        <f t="shared" ref="X37:X46" si="59">T37*U37+F37*W37*G37</f>
        <v>5.87109725</v>
      </c>
      <c r="Y37" s="215">
        <f t="shared" ref="Y37:Y46" si="60">SQRT(V37^2 + V37*(U37-V37) + (1/3)*(U37-V37)^2)</f>
        <v>154.9</v>
      </c>
      <c r="Z37" s="216">
        <f t="shared" ref="Z37:Z46" si="61">U37*X37/1000</f>
        <v>0.90943296402500007</v>
      </c>
      <c r="AA37" s="217"/>
      <c r="AB37" s="175" t="s">
        <v>172</v>
      </c>
      <c r="AC37" s="218" t="s">
        <v>63</v>
      </c>
      <c r="AD37" s="41">
        <v>20</v>
      </c>
      <c r="AE37" s="41">
        <v>250</v>
      </c>
      <c r="AF37" s="63">
        <f t="shared" ref="AF37:AF46" si="62">AD37*AE37/1000</f>
        <v>5</v>
      </c>
      <c r="AG37" s="219">
        <f t="shared" ref="AG37:AG46" si="63">$AF$3*(AD37*Y37)/1000</f>
        <v>0.30980000000000002</v>
      </c>
      <c r="AH37" s="219"/>
      <c r="AI37" s="220">
        <f t="shared" ref="AI37:AI46" si="64" xml:space="preserve"> IF(   AC37 = "SM",      (AF37*$AF$6   +   $AE$86   +    $W$79),       IF(AC37 ="SCR",   ( AF37*$AF$7 + $L$93),     IF(AC37="4QSM", (   (AF37/$F$78)*$E$78  +  (AF37/$F$79) * $E$79),    "????")  )    )</f>
        <v>9.8500000000000014</v>
      </c>
      <c r="AJ37" s="178">
        <f t="shared" ref="AJ37:AJ46" si="65" xml:space="preserve">  IF(   AC37="SM",     (  SUM($V$87:$V$88)  +  SUM($AF$89:$AF$90)   ) * 40,    IF(AC37="SCR",   ($V$88+$AF$90)*40,  IF(AC37="4QSM", (   (AF37/$F$78)*$E$82  +  (AF37/$F$79) * $E$83), "?????")       )       )</f>
        <v>148</v>
      </c>
      <c r="AK37" s="178">
        <f t="shared" ref="AK37:AK46" si="66" xml:space="preserve">  IF(   AC37="SM",     (  SUM($W$87:$W$88)  +  SUM($AG$89:$AG$90)   ) * 40,    IF(AC37="SCR",   ($W$88+$AG$90)*40,  IF(AC37="4QSM", (   (AF37/$F$78)*$E$85  +  (AF37/$F$79) * $E$86),  "?????")     )         )</f>
        <v>28.000000000000004</v>
      </c>
      <c r="AL37" s="219"/>
      <c r="AM37" s="220">
        <v>1.5</v>
      </c>
      <c r="AN37" s="178">
        <f t="shared" ref="AN37:AN46" si="67" xml:space="preserve"> $AF$91 *40</f>
        <v>8</v>
      </c>
      <c r="AO37" s="178">
        <f t="shared" ref="AO37:AO46" si="68" xml:space="preserve"> $AG$91 * 40</f>
        <v>8</v>
      </c>
      <c r="AP37" s="178">
        <f t="shared" ref="AP37:AP46" si="69" xml:space="preserve"> $W$81</f>
        <v>17.142857142857142</v>
      </c>
      <c r="AQ37" s="90"/>
      <c r="AR37" s="270"/>
      <c r="AS37" s="97">
        <f t="shared" ref="AS37:AS46" si="70">T37*Y37^2/1000+AG37</f>
        <v>1.2192329640250001</v>
      </c>
      <c r="AT37" s="89">
        <f t="shared" ref="AT37:AT46" si="71">IF(    AC37="SM", AS37/$AF$4,     IF(    AC37="4QSM", AS37/$AF$4,    AS37/(X37/AD37)   )         )</f>
        <v>1.3547032933611112</v>
      </c>
      <c r="AU37" s="159">
        <f t="shared" ref="AU37:AU46" si="72">(AT37*1000)/(480*1.73)</f>
        <v>1.6313864322749414</v>
      </c>
      <c r="AV37" s="232">
        <f t="shared" ref="AV37:AW40" si="73">X37/AD37*100</f>
        <v>29.355486250000002</v>
      </c>
      <c r="AW37" s="232">
        <f t="shared" si="73"/>
        <v>61.96</v>
      </c>
      <c r="AX37" s="155">
        <f t="shared" si="48"/>
        <v>2</v>
      </c>
      <c r="AY37" s="156">
        <f t="shared" si="49"/>
        <v>0</v>
      </c>
      <c r="BA37" s="2"/>
      <c r="BB37" s="2"/>
      <c r="BC37" s="2"/>
      <c r="BD37" s="2"/>
      <c r="BE37" s="2"/>
      <c r="BF37" s="2"/>
    </row>
    <row r="38" spans="1:59" s="3" customFormat="1" ht="15.95" customHeight="1" x14ac:dyDescent="0.2">
      <c r="A38" s="268" t="s">
        <v>242</v>
      </c>
      <c r="B38" s="198"/>
      <c r="C38" s="193" t="s">
        <v>20</v>
      </c>
      <c r="D38" s="194" t="s">
        <v>257</v>
      </c>
      <c r="E38" s="195" t="s">
        <v>19</v>
      </c>
      <c r="F38" s="63">
        <v>1</v>
      </c>
      <c r="G38" s="42">
        <v>4.3020000000000003E-2</v>
      </c>
      <c r="H38" s="324">
        <v>3.2338499999999999E-2</v>
      </c>
      <c r="I38" s="196"/>
      <c r="J38" s="197">
        <f t="shared" si="50"/>
        <v>500</v>
      </c>
      <c r="K38" s="41">
        <f t="shared" si="51"/>
        <v>1</v>
      </c>
      <c r="L38" s="50">
        <f t="shared" si="52"/>
        <v>2.5999999999999999E-2</v>
      </c>
      <c r="M38" s="41">
        <f xml:space="preserve"> ( $M$13 - 480 ) + $M$6 + $M$7+M14</f>
        <v>90</v>
      </c>
      <c r="N38" s="50">
        <f t="shared" si="53"/>
        <v>4.6800000000000001E-3</v>
      </c>
      <c r="O38" s="50"/>
      <c r="P38" s="258">
        <f t="shared" si="54"/>
        <v>1.0151999999999999</v>
      </c>
      <c r="Q38" s="258">
        <f t="shared" si="55"/>
        <v>0.64979999999999993</v>
      </c>
      <c r="R38" s="259">
        <f t="shared" si="56"/>
        <v>1.6649999999999998</v>
      </c>
      <c r="S38" s="260"/>
      <c r="T38" s="261">
        <f t="shared" si="57"/>
        <v>3.7018499999999996E-2</v>
      </c>
      <c r="U38" s="178">
        <v>188.7</v>
      </c>
      <c r="V38" s="178">
        <f t="shared" si="58"/>
        <v>188.7</v>
      </c>
      <c r="W38" s="178">
        <v>0</v>
      </c>
      <c r="X38" s="215">
        <f t="shared" si="59"/>
        <v>6.9853909499999984</v>
      </c>
      <c r="Y38" s="215">
        <f t="shared" si="60"/>
        <v>188.7</v>
      </c>
      <c r="Z38" s="216">
        <f t="shared" si="61"/>
        <v>1.3181432722649997</v>
      </c>
      <c r="AA38" s="217"/>
      <c r="AB38" s="175" t="s">
        <v>172</v>
      </c>
      <c r="AC38" s="218" t="s">
        <v>63</v>
      </c>
      <c r="AD38" s="41">
        <v>20</v>
      </c>
      <c r="AE38" s="41">
        <v>250</v>
      </c>
      <c r="AF38" s="63">
        <f t="shared" si="62"/>
        <v>5</v>
      </c>
      <c r="AG38" s="219">
        <f t="shared" si="63"/>
        <v>0.37740000000000001</v>
      </c>
      <c r="AH38" s="219"/>
      <c r="AI38" s="220">
        <f t="shared" si="64"/>
        <v>9.8500000000000014</v>
      </c>
      <c r="AJ38" s="178">
        <f t="shared" si="65"/>
        <v>148</v>
      </c>
      <c r="AK38" s="178">
        <f t="shared" si="66"/>
        <v>28.000000000000004</v>
      </c>
      <c r="AL38" s="219"/>
      <c r="AM38" s="220">
        <v>1.5</v>
      </c>
      <c r="AN38" s="178">
        <f t="shared" si="67"/>
        <v>8</v>
      </c>
      <c r="AO38" s="178">
        <f t="shared" si="68"/>
        <v>8</v>
      </c>
      <c r="AP38" s="178">
        <f t="shared" si="69"/>
        <v>17.142857142857142</v>
      </c>
      <c r="AQ38" s="90"/>
      <c r="AR38" s="270"/>
      <c r="AS38" s="97">
        <f t="shared" si="70"/>
        <v>1.6955432722649997</v>
      </c>
      <c r="AT38" s="89">
        <f t="shared" si="71"/>
        <v>1.883936969183333</v>
      </c>
      <c r="AU38" s="159">
        <f t="shared" si="72"/>
        <v>2.2687102230049772</v>
      </c>
      <c r="AV38" s="232">
        <f t="shared" si="73"/>
        <v>34.926954749999993</v>
      </c>
      <c r="AW38" s="232">
        <f t="shared" si="73"/>
        <v>75.47999999999999</v>
      </c>
      <c r="AX38" s="155">
        <f t="shared" si="48"/>
        <v>2</v>
      </c>
      <c r="AY38" s="156">
        <f t="shared" si="49"/>
        <v>0</v>
      </c>
      <c r="BA38" s="2"/>
      <c r="BB38" s="2"/>
      <c r="BC38" s="2"/>
      <c r="BD38" s="2"/>
      <c r="BE38" s="2"/>
      <c r="BF38" s="2"/>
    </row>
    <row r="39" spans="1:59" s="3" customFormat="1" ht="15.95" customHeight="1" x14ac:dyDescent="0.2">
      <c r="A39" s="268" t="s">
        <v>243</v>
      </c>
      <c r="B39" s="198"/>
      <c r="C39" s="193" t="s">
        <v>20</v>
      </c>
      <c r="D39" s="194" t="s">
        <v>258</v>
      </c>
      <c r="E39" s="195" t="s">
        <v>19</v>
      </c>
      <c r="F39" s="63">
        <v>1</v>
      </c>
      <c r="G39" s="42">
        <v>4.3020000000000003E-2</v>
      </c>
      <c r="H39" s="324">
        <v>3.2338499999999999E-2</v>
      </c>
      <c r="I39" s="196"/>
      <c r="J39" s="197">
        <f t="shared" si="50"/>
        <v>500</v>
      </c>
      <c r="K39" s="41">
        <f t="shared" si="51"/>
        <v>1</v>
      </c>
      <c r="L39" s="50">
        <f t="shared" si="52"/>
        <v>2.5999999999999999E-2</v>
      </c>
      <c r="M39" s="41">
        <f xml:space="preserve"> ( 533- $M$13 ) + $M$6 + $M$7 + M14</f>
        <v>143</v>
      </c>
      <c r="N39" s="50">
        <f t="shared" si="53"/>
        <v>7.4359999999999999E-3</v>
      </c>
      <c r="O39" s="50"/>
      <c r="P39" s="258">
        <f t="shared" si="54"/>
        <v>1.61304</v>
      </c>
      <c r="Q39" s="258">
        <f t="shared" si="55"/>
        <v>1.0324599999999999</v>
      </c>
      <c r="R39" s="259">
        <f t="shared" si="56"/>
        <v>2.6455000000000002</v>
      </c>
      <c r="S39" s="260"/>
      <c r="T39" s="261">
        <f t="shared" si="57"/>
        <v>3.9774499999999997E-2</v>
      </c>
      <c r="U39" s="178">
        <v>109.8</v>
      </c>
      <c r="V39" s="178">
        <f t="shared" si="58"/>
        <v>109.8</v>
      </c>
      <c r="W39" s="178">
        <v>0</v>
      </c>
      <c r="X39" s="215">
        <f t="shared" si="59"/>
        <v>4.3672400999999992</v>
      </c>
      <c r="Y39" s="215">
        <f t="shared" si="60"/>
        <v>109.8</v>
      </c>
      <c r="Z39" s="216">
        <f t="shared" si="61"/>
        <v>0.47952296297999986</v>
      </c>
      <c r="AA39" s="217"/>
      <c r="AB39" s="175" t="s">
        <v>172</v>
      </c>
      <c r="AC39" s="218" t="s">
        <v>63</v>
      </c>
      <c r="AD39" s="41">
        <v>20</v>
      </c>
      <c r="AE39" s="41">
        <v>250</v>
      </c>
      <c r="AF39" s="63">
        <f t="shared" si="62"/>
        <v>5</v>
      </c>
      <c r="AG39" s="219">
        <f t="shared" si="63"/>
        <v>0.21960000000000002</v>
      </c>
      <c r="AH39" s="219"/>
      <c r="AI39" s="220">
        <f t="shared" si="64"/>
        <v>9.8500000000000014</v>
      </c>
      <c r="AJ39" s="178">
        <f t="shared" si="65"/>
        <v>148</v>
      </c>
      <c r="AK39" s="178">
        <f t="shared" si="66"/>
        <v>28.000000000000004</v>
      </c>
      <c r="AL39" s="219"/>
      <c r="AM39" s="220">
        <v>1.5</v>
      </c>
      <c r="AN39" s="178">
        <f t="shared" si="67"/>
        <v>8</v>
      </c>
      <c r="AO39" s="178">
        <f t="shared" si="68"/>
        <v>8</v>
      </c>
      <c r="AP39" s="178">
        <f t="shared" si="69"/>
        <v>17.142857142857142</v>
      </c>
      <c r="AQ39" s="90"/>
      <c r="AR39" s="270"/>
      <c r="AS39" s="97">
        <f t="shared" si="70"/>
        <v>0.69912296297999998</v>
      </c>
      <c r="AT39" s="89">
        <f t="shared" si="71"/>
        <v>0.7768032922</v>
      </c>
      <c r="AU39" s="159">
        <f t="shared" si="72"/>
        <v>0.93545675842967246</v>
      </c>
      <c r="AV39" s="232">
        <f t="shared" si="73"/>
        <v>21.836200499999997</v>
      </c>
      <c r="AW39" s="232">
        <f t="shared" si="73"/>
        <v>43.919999999999995</v>
      </c>
      <c r="AX39" s="155">
        <f t="shared" si="48"/>
        <v>2</v>
      </c>
      <c r="AY39" s="156">
        <f t="shared" si="49"/>
        <v>0</v>
      </c>
      <c r="BA39" s="2"/>
      <c r="BB39" s="2"/>
      <c r="BC39" s="2"/>
      <c r="BD39" s="2"/>
      <c r="BE39" s="2"/>
      <c r="BF39" s="2"/>
    </row>
    <row r="40" spans="1:59" s="3" customFormat="1" ht="15.95" customHeight="1" x14ac:dyDescent="0.2">
      <c r="A40" s="268" t="s">
        <v>244</v>
      </c>
      <c r="B40" s="198"/>
      <c r="C40" s="193" t="s">
        <v>20</v>
      </c>
      <c r="D40" s="194" t="s">
        <v>259</v>
      </c>
      <c r="E40" s="195" t="s">
        <v>217</v>
      </c>
      <c r="F40" s="63">
        <v>1</v>
      </c>
      <c r="G40" s="264">
        <v>6.0227999999999997E-2</v>
      </c>
      <c r="H40" s="324">
        <v>3.92517E-2</v>
      </c>
      <c r="I40" s="196"/>
      <c r="J40" s="197">
        <f t="shared" si="50"/>
        <v>500</v>
      </c>
      <c r="K40" s="41">
        <f t="shared" si="51"/>
        <v>1</v>
      </c>
      <c r="L40" s="50">
        <f t="shared" si="52"/>
        <v>2.5999999999999999E-2</v>
      </c>
      <c r="M40" s="41">
        <f xml:space="preserve"> ( 556- $M$13 ) + $M$6 + $M$7 + M14</f>
        <v>166</v>
      </c>
      <c r="N40" s="50">
        <f t="shared" si="53"/>
        <v>8.631999999999999E-3</v>
      </c>
      <c r="O40" s="50"/>
      <c r="P40" s="258">
        <f t="shared" si="54"/>
        <v>1.8724799999999997</v>
      </c>
      <c r="Q40" s="258">
        <f t="shared" si="55"/>
        <v>1.19852</v>
      </c>
      <c r="R40" s="259">
        <f t="shared" si="56"/>
        <v>3.0709999999999997</v>
      </c>
      <c r="S40" s="260"/>
      <c r="T40" s="261">
        <f t="shared" si="57"/>
        <v>4.7883700000000001E-2</v>
      </c>
      <c r="U40" s="178">
        <v>253.8</v>
      </c>
      <c r="V40" s="178">
        <f t="shared" si="58"/>
        <v>253.8</v>
      </c>
      <c r="W40" s="178">
        <v>0</v>
      </c>
      <c r="X40" s="215">
        <f t="shared" si="59"/>
        <v>12.152883060000001</v>
      </c>
      <c r="Y40" s="215">
        <f t="shared" si="60"/>
        <v>253.8</v>
      </c>
      <c r="Z40" s="216">
        <f t="shared" si="61"/>
        <v>3.0844017206280006</v>
      </c>
      <c r="AA40" s="217"/>
      <c r="AB40" s="175" t="s">
        <v>172</v>
      </c>
      <c r="AC40" s="218" t="s">
        <v>63</v>
      </c>
      <c r="AD40" s="41">
        <v>50</v>
      </c>
      <c r="AE40" s="41">
        <v>400</v>
      </c>
      <c r="AF40" s="63">
        <f t="shared" si="62"/>
        <v>20</v>
      </c>
      <c r="AG40" s="219">
        <f t="shared" si="63"/>
        <v>1.2689999999999999</v>
      </c>
      <c r="AH40" s="219"/>
      <c r="AI40" s="220">
        <f t="shared" si="64"/>
        <v>18.55</v>
      </c>
      <c r="AJ40" s="178">
        <f t="shared" si="65"/>
        <v>148</v>
      </c>
      <c r="AK40" s="178">
        <f t="shared" si="66"/>
        <v>28.000000000000004</v>
      </c>
      <c r="AL40" s="219"/>
      <c r="AM40" s="220">
        <v>1.5</v>
      </c>
      <c r="AN40" s="178">
        <f t="shared" si="67"/>
        <v>8</v>
      </c>
      <c r="AO40" s="178">
        <f t="shared" si="68"/>
        <v>8</v>
      </c>
      <c r="AP40" s="178">
        <f t="shared" si="69"/>
        <v>17.142857142857142</v>
      </c>
      <c r="AQ40" s="90"/>
      <c r="AR40" s="270"/>
      <c r="AS40" s="97">
        <f t="shared" si="70"/>
        <v>4.3534017206279998</v>
      </c>
      <c r="AT40" s="89">
        <f t="shared" si="71"/>
        <v>4.8371130229199997</v>
      </c>
      <c r="AU40" s="159">
        <f t="shared" si="72"/>
        <v>5.8250397674855492</v>
      </c>
      <c r="AV40" s="232">
        <f t="shared" si="73"/>
        <v>24.305766120000001</v>
      </c>
      <c r="AW40" s="232">
        <f t="shared" si="73"/>
        <v>63.45</v>
      </c>
      <c r="AX40" s="155">
        <f t="shared" si="48"/>
        <v>2</v>
      </c>
      <c r="AY40" s="156">
        <f t="shared" si="49"/>
        <v>0</v>
      </c>
      <c r="BA40" s="2"/>
      <c r="BB40" s="2"/>
      <c r="BC40" s="2"/>
      <c r="BD40" s="2"/>
      <c r="BE40" s="2"/>
      <c r="BF40" s="2"/>
    </row>
    <row r="41" spans="1:59" s="3" customFormat="1" ht="15.95" customHeight="1" x14ac:dyDescent="0.2">
      <c r="A41" s="268" t="s">
        <v>216</v>
      </c>
      <c r="B41" s="198"/>
      <c r="C41" s="262" t="s">
        <v>21</v>
      </c>
      <c r="D41" s="194" t="s">
        <v>260</v>
      </c>
      <c r="E41" s="195" t="s">
        <v>215</v>
      </c>
      <c r="F41" s="63">
        <v>1</v>
      </c>
      <c r="G41" s="42">
        <v>1.0670000000000001E-2</v>
      </c>
      <c r="H41" s="324">
        <v>4.9000000000000002E-2</v>
      </c>
      <c r="I41" s="196"/>
      <c r="J41" s="197">
        <f t="shared" si="50"/>
        <v>500</v>
      </c>
      <c r="K41" s="41">
        <f t="shared" si="51"/>
        <v>4</v>
      </c>
      <c r="L41" s="50">
        <f t="shared" si="52"/>
        <v>2.5999999999999999E-2</v>
      </c>
      <c r="M41" s="41">
        <f xml:space="preserve"> ( 571- $M$13 ) + $M$6 + $M$7 + M14 + M14</f>
        <v>191</v>
      </c>
      <c r="N41" s="50">
        <f t="shared" si="53"/>
        <v>2.483E-3</v>
      </c>
      <c r="O41" s="50"/>
      <c r="P41" s="258">
        <f t="shared" si="54"/>
        <v>8.6179199999999998</v>
      </c>
      <c r="Q41" s="258">
        <f t="shared" si="55"/>
        <v>5.5160799999999997</v>
      </c>
      <c r="R41" s="259">
        <f t="shared" si="56"/>
        <v>14.134</v>
      </c>
      <c r="S41" s="260"/>
      <c r="T41" s="261">
        <f t="shared" si="57"/>
        <v>5.1483000000000001E-2</v>
      </c>
      <c r="U41" s="178">
        <v>1165</v>
      </c>
      <c r="V41" s="178">
        <f t="shared" si="58"/>
        <v>1165</v>
      </c>
      <c r="W41" s="178">
        <v>0</v>
      </c>
      <c r="X41" s="215">
        <f t="shared" si="59"/>
        <v>59.977695000000004</v>
      </c>
      <c r="Y41" s="215">
        <f t="shared" si="60"/>
        <v>1165</v>
      </c>
      <c r="Z41" s="216">
        <f t="shared" si="61"/>
        <v>69.874014674999998</v>
      </c>
      <c r="AA41" s="217"/>
      <c r="AB41" s="175" t="s">
        <v>172</v>
      </c>
      <c r="AC41" s="218" t="s">
        <v>65</v>
      </c>
      <c r="AD41" s="177">
        <v>200</v>
      </c>
      <c r="AE41" s="177">
        <v>1200</v>
      </c>
      <c r="AF41" s="63">
        <f t="shared" si="62"/>
        <v>240</v>
      </c>
      <c r="AG41" s="219">
        <f t="shared" si="63"/>
        <v>23.3</v>
      </c>
      <c r="AH41" s="219"/>
      <c r="AI41" s="220">
        <v>16</v>
      </c>
      <c r="AJ41" s="178">
        <f t="shared" si="65"/>
        <v>28</v>
      </c>
      <c r="AK41" s="178">
        <f t="shared" si="66"/>
        <v>12.000000000000002</v>
      </c>
      <c r="AL41" s="219"/>
      <c r="AM41" s="220">
        <v>1.5</v>
      </c>
      <c r="AN41" s="178">
        <f t="shared" si="67"/>
        <v>8</v>
      </c>
      <c r="AO41" s="178">
        <f t="shared" si="68"/>
        <v>8</v>
      </c>
      <c r="AP41" s="178">
        <f t="shared" si="69"/>
        <v>17.142857142857142</v>
      </c>
      <c r="AQ41" s="90"/>
      <c r="AR41" s="270"/>
      <c r="AS41" s="97">
        <f t="shared" si="70"/>
        <v>93.174014674999995</v>
      </c>
      <c r="AT41" s="89">
        <f t="shared" si="71"/>
        <v>310.69554998737442</v>
      </c>
      <c r="AU41" s="159">
        <f t="shared" si="72"/>
        <v>374.15167387689598</v>
      </c>
      <c r="AV41" s="232">
        <f t="shared" ref="AV41:AW43" si="74">X41/AD41*100</f>
        <v>29.988847500000006</v>
      </c>
      <c r="AW41" s="232">
        <f t="shared" si="74"/>
        <v>97.083333333333329</v>
      </c>
      <c r="AX41" s="155">
        <f t="shared" ref="AX41:AX46" si="75">IF(J41=500, (K41*2), 0)</f>
        <v>8</v>
      </c>
      <c r="AY41" s="156">
        <f t="shared" ref="AY41:AY46" si="76">IF((J41=100), (K41*2), 0)</f>
        <v>0</v>
      </c>
      <c r="BA41" s="226" t="s">
        <v>290</v>
      </c>
      <c r="BB41" s="278"/>
      <c r="BC41" s="278"/>
      <c r="BD41" s="278"/>
      <c r="BE41" s="278"/>
      <c r="BF41" s="278"/>
      <c r="BG41" s="279"/>
    </row>
    <row r="42" spans="1:59" s="3" customFormat="1" ht="15.95" customHeight="1" x14ac:dyDescent="0.2">
      <c r="A42" s="268" t="s">
        <v>228</v>
      </c>
      <c r="B42" s="198"/>
      <c r="C42" s="193" t="s">
        <v>20</v>
      </c>
      <c r="D42" s="263" t="s">
        <v>234</v>
      </c>
      <c r="E42" s="195" t="s">
        <v>223</v>
      </c>
      <c r="F42" s="63">
        <v>1</v>
      </c>
      <c r="G42" s="264">
        <v>0.1234196</v>
      </c>
      <c r="H42" s="324">
        <v>0.16900000000000001</v>
      </c>
      <c r="I42" s="196"/>
      <c r="J42" s="197">
        <f t="shared" si="50"/>
        <v>100</v>
      </c>
      <c r="K42" s="41">
        <f t="shared" si="51"/>
        <v>1</v>
      </c>
      <c r="L42" s="50">
        <f t="shared" si="52"/>
        <v>0.122</v>
      </c>
      <c r="M42" s="41">
        <f xml:space="preserve"> ( 600 - $M$13 ) + $M$6 + $M$7 + M14</f>
        <v>210</v>
      </c>
      <c r="N42" s="50">
        <f t="shared" si="53"/>
        <v>5.1240000000000001E-2</v>
      </c>
      <c r="O42" s="50"/>
      <c r="P42" s="258">
        <f t="shared" si="54"/>
        <v>0.504</v>
      </c>
      <c r="Q42" s="258">
        <f t="shared" si="55"/>
        <v>0.47040000000000004</v>
      </c>
      <c r="R42" s="259">
        <f t="shared" si="56"/>
        <v>0.97440000000000004</v>
      </c>
      <c r="S42" s="260"/>
      <c r="T42" s="261">
        <f t="shared" si="57"/>
        <v>0.22024000000000002</v>
      </c>
      <c r="U42" s="178">
        <v>80</v>
      </c>
      <c r="V42" s="178">
        <f t="shared" si="58"/>
        <v>80</v>
      </c>
      <c r="W42" s="178">
        <v>0</v>
      </c>
      <c r="X42" s="215">
        <f t="shared" si="59"/>
        <v>17.619200000000003</v>
      </c>
      <c r="Y42" s="215">
        <f t="shared" si="60"/>
        <v>80</v>
      </c>
      <c r="Z42" s="216">
        <f t="shared" si="61"/>
        <v>1.4095360000000003</v>
      </c>
      <c r="AA42" s="217"/>
      <c r="AB42" s="175" t="s">
        <v>172</v>
      </c>
      <c r="AC42" s="218" t="s">
        <v>63</v>
      </c>
      <c r="AD42" s="41">
        <v>20</v>
      </c>
      <c r="AE42" s="41">
        <v>250</v>
      </c>
      <c r="AF42" s="63">
        <f t="shared" si="62"/>
        <v>5</v>
      </c>
      <c r="AG42" s="219">
        <f t="shared" si="63"/>
        <v>0.16</v>
      </c>
      <c r="AH42" s="219"/>
      <c r="AI42" s="220">
        <f t="shared" si="64"/>
        <v>9.8500000000000014</v>
      </c>
      <c r="AJ42" s="178">
        <f t="shared" si="65"/>
        <v>148</v>
      </c>
      <c r="AK42" s="178">
        <f t="shared" si="66"/>
        <v>28.000000000000004</v>
      </c>
      <c r="AL42" s="219"/>
      <c r="AM42" s="220">
        <v>1.5</v>
      </c>
      <c r="AN42" s="178">
        <f t="shared" si="67"/>
        <v>8</v>
      </c>
      <c r="AO42" s="178">
        <f t="shared" si="68"/>
        <v>8</v>
      </c>
      <c r="AP42" s="178">
        <f t="shared" si="69"/>
        <v>17.142857142857142</v>
      </c>
      <c r="AQ42" s="90"/>
      <c r="AR42" s="270"/>
      <c r="AS42" s="97">
        <f t="shared" si="70"/>
        <v>1.569536</v>
      </c>
      <c r="AT42" s="89">
        <f t="shared" si="71"/>
        <v>1.7439288888888889</v>
      </c>
      <c r="AU42" s="159">
        <f t="shared" si="72"/>
        <v>2.1001070434596447</v>
      </c>
      <c r="AV42" s="232">
        <f t="shared" si="74"/>
        <v>88.096000000000018</v>
      </c>
      <c r="AW42" s="232">
        <f t="shared" si="74"/>
        <v>32</v>
      </c>
      <c r="AX42" s="155">
        <f t="shared" si="75"/>
        <v>0</v>
      </c>
      <c r="AY42" s="156">
        <f t="shared" si="76"/>
        <v>2</v>
      </c>
      <c r="BA42" s="265"/>
      <c r="BB42" s="2"/>
      <c r="BC42" s="2"/>
      <c r="BD42" s="2"/>
      <c r="BE42" s="2"/>
      <c r="BF42" s="2"/>
    </row>
    <row r="43" spans="1:59" s="3" customFormat="1" ht="15.95" customHeight="1" x14ac:dyDescent="0.2">
      <c r="A43" s="268" t="s">
        <v>229</v>
      </c>
      <c r="B43" s="198"/>
      <c r="C43" s="193" t="s">
        <v>20</v>
      </c>
      <c r="D43" s="263" t="s">
        <v>235</v>
      </c>
      <c r="E43" s="195" t="s">
        <v>223</v>
      </c>
      <c r="F43" s="63">
        <v>1</v>
      </c>
      <c r="G43" s="264">
        <v>0.1234196</v>
      </c>
      <c r="H43" s="324">
        <v>0.16900000000000001</v>
      </c>
      <c r="I43" s="196"/>
      <c r="J43" s="197">
        <f t="shared" si="50"/>
        <v>100</v>
      </c>
      <c r="K43" s="41">
        <f t="shared" si="51"/>
        <v>1</v>
      </c>
      <c r="L43" s="50">
        <f t="shared" si="52"/>
        <v>0.122</v>
      </c>
      <c r="M43" s="41">
        <f xml:space="preserve"> ( 600 - $M$13 ) + $M$6 + $M$7 + M14</f>
        <v>210</v>
      </c>
      <c r="N43" s="50">
        <f t="shared" si="53"/>
        <v>5.1240000000000001E-2</v>
      </c>
      <c r="O43" s="50"/>
      <c r="P43" s="258">
        <f t="shared" si="54"/>
        <v>0.504</v>
      </c>
      <c r="Q43" s="258">
        <f t="shared" si="55"/>
        <v>0.47040000000000004</v>
      </c>
      <c r="R43" s="259">
        <f t="shared" si="56"/>
        <v>0.97440000000000004</v>
      </c>
      <c r="S43" s="260"/>
      <c r="T43" s="261">
        <f t="shared" si="57"/>
        <v>0.22024000000000002</v>
      </c>
      <c r="U43" s="178">
        <v>80</v>
      </c>
      <c r="V43" s="178">
        <f t="shared" si="58"/>
        <v>80</v>
      </c>
      <c r="W43" s="178">
        <v>0</v>
      </c>
      <c r="X43" s="215">
        <f t="shared" si="59"/>
        <v>17.619200000000003</v>
      </c>
      <c r="Y43" s="215">
        <f t="shared" si="60"/>
        <v>80</v>
      </c>
      <c r="Z43" s="216">
        <f t="shared" si="61"/>
        <v>1.4095360000000003</v>
      </c>
      <c r="AA43" s="217"/>
      <c r="AB43" s="175" t="s">
        <v>172</v>
      </c>
      <c r="AC43" s="218" t="s">
        <v>63</v>
      </c>
      <c r="AD43" s="41">
        <v>20</v>
      </c>
      <c r="AE43" s="41">
        <v>250</v>
      </c>
      <c r="AF43" s="63">
        <f t="shared" si="62"/>
        <v>5</v>
      </c>
      <c r="AG43" s="219">
        <f t="shared" si="63"/>
        <v>0.16</v>
      </c>
      <c r="AH43" s="219"/>
      <c r="AI43" s="220">
        <f t="shared" si="64"/>
        <v>9.8500000000000014</v>
      </c>
      <c r="AJ43" s="178">
        <f t="shared" si="65"/>
        <v>148</v>
      </c>
      <c r="AK43" s="178">
        <f t="shared" si="66"/>
        <v>28.000000000000004</v>
      </c>
      <c r="AL43" s="219"/>
      <c r="AM43" s="220">
        <v>1.5</v>
      </c>
      <c r="AN43" s="178">
        <f t="shared" si="67"/>
        <v>8</v>
      </c>
      <c r="AO43" s="178">
        <f t="shared" si="68"/>
        <v>8</v>
      </c>
      <c r="AP43" s="178">
        <f t="shared" si="69"/>
        <v>17.142857142857142</v>
      </c>
      <c r="AQ43" s="90"/>
      <c r="AR43" s="270"/>
      <c r="AS43" s="97">
        <f t="shared" si="70"/>
        <v>1.569536</v>
      </c>
      <c r="AT43" s="89">
        <f t="shared" si="71"/>
        <v>1.7439288888888889</v>
      </c>
      <c r="AU43" s="159">
        <f t="shared" si="72"/>
        <v>2.1001070434596447</v>
      </c>
      <c r="AV43" s="232">
        <f t="shared" si="74"/>
        <v>88.096000000000018</v>
      </c>
      <c r="AW43" s="232">
        <f t="shared" si="74"/>
        <v>32</v>
      </c>
      <c r="AX43" s="155">
        <f t="shared" si="75"/>
        <v>0</v>
      </c>
      <c r="AY43" s="156">
        <f t="shared" si="76"/>
        <v>2</v>
      </c>
      <c r="BA43" s="2"/>
      <c r="BB43" s="2"/>
      <c r="BC43" s="2"/>
      <c r="BD43" s="2"/>
      <c r="BE43" s="2"/>
      <c r="BF43" s="2"/>
    </row>
    <row r="44" spans="1:59" s="3" customFormat="1" ht="15.95" customHeight="1" x14ac:dyDescent="0.2">
      <c r="A44" s="268" t="s">
        <v>245</v>
      </c>
      <c r="B44" s="198"/>
      <c r="C44" s="193" t="s">
        <v>20</v>
      </c>
      <c r="D44" s="194" t="s">
        <v>261</v>
      </c>
      <c r="E44" s="195" t="s">
        <v>217</v>
      </c>
      <c r="F44" s="63">
        <v>1</v>
      </c>
      <c r="G44" s="264">
        <v>6.0227999999999997E-2</v>
      </c>
      <c r="H44" s="324">
        <v>3.92517E-2</v>
      </c>
      <c r="I44" s="196"/>
      <c r="J44" s="197">
        <f t="shared" si="50"/>
        <v>500</v>
      </c>
      <c r="K44" s="41">
        <f t="shared" si="51"/>
        <v>1</v>
      </c>
      <c r="L44" s="50">
        <f t="shared" si="52"/>
        <v>2.5999999999999999E-2</v>
      </c>
      <c r="M44" s="41">
        <f xml:space="preserve"> ( 592 - $M$13 ) + $M$6 + $M$7 + M14</f>
        <v>202</v>
      </c>
      <c r="N44" s="50">
        <f t="shared" si="53"/>
        <v>1.0503999999999999E-2</v>
      </c>
      <c r="O44" s="50"/>
      <c r="P44" s="258">
        <f t="shared" si="54"/>
        <v>2.2785600000000001</v>
      </c>
      <c r="Q44" s="258">
        <f t="shared" si="55"/>
        <v>1.45844</v>
      </c>
      <c r="R44" s="259">
        <f t="shared" si="56"/>
        <v>3.7370000000000001</v>
      </c>
      <c r="S44" s="260"/>
      <c r="T44" s="261">
        <f t="shared" si="57"/>
        <v>4.97557E-2</v>
      </c>
      <c r="U44" s="178">
        <v>192.2</v>
      </c>
      <c r="V44" s="178">
        <f t="shared" si="58"/>
        <v>192.2</v>
      </c>
      <c r="W44" s="178">
        <v>0</v>
      </c>
      <c r="X44" s="215">
        <f t="shared" si="59"/>
        <v>9.5630455399999992</v>
      </c>
      <c r="Y44" s="215">
        <f t="shared" si="60"/>
        <v>192.2</v>
      </c>
      <c r="Z44" s="216">
        <f t="shared" si="61"/>
        <v>1.8380173527879997</v>
      </c>
      <c r="AA44" s="217"/>
      <c r="AB44" s="175" t="s">
        <v>172</v>
      </c>
      <c r="AC44" s="218" t="s">
        <v>63</v>
      </c>
      <c r="AD44" s="41">
        <v>20</v>
      </c>
      <c r="AE44" s="41">
        <v>250</v>
      </c>
      <c r="AF44" s="63">
        <f t="shared" si="62"/>
        <v>5</v>
      </c>
      <c r="AG44" s="219">
        <f t="shared" si="63"/>
        <v>0.38440000000000002</v>
      </c>
      <c r="AH44" s="219"/>
      <c r="AI44" s="220">
        <f t="shared" si="64"/>
        <v>9.8500000000000014</v>
      </c>
      <c r="AJ44" s="178">
        <f t="shared" si="65"/>
        <v>148</v>
      </c>
      <c r="AK44" s="178">
        <f t="shared" si="66"/>
        <v>28.000000000000004</v>
      </c>
      <c r="AL44" s="219"/>
      <c r="AM44" s="220">
        <v>1.5</v>
      </c>
      <c r="AN44" s="178">
        <f t="shared" si="67"/>
        <v>8</v>
      </c>
      <c r="AO44" s="178">
        <f t="shared" si="68"/>
        <v>8</v>
      </c>
      <c r="AP44" s="178">
        <f t="shared" si="69"/>
        <v>17.142857142857142</v>
      </c>
      <c r="AQ44" s="90"/>
      <c r="AR44" s="270"/>
      <c r="AS44" s="97">
        <f t="shared" si="70"/>
        <v>2.2224173527879998</v>
      </c>
      <c r="AT44" s="89">
        <f t="shared" si="71"/>
        <v>2.4693526142088884</v>
      </c>
      <c r="AU44" s="159">
        <f t="shared" si="72"/>
        <v>2.9736905277081993</v>
      </c>
      <c r="AV44" s="232">
        <f t="shared" ref="AV44:AW46" si="77">X44/AD44*100</f>
        <v>47.815227699999994</v>
      </c>
      <c r="AW44" s="232">
        <f t="shared" si="77"/>
        <v>76.88</v>
      </c>
      <c r="AX44" s="155">
        <f t="shared" si="75"/>
        <v>2</v>
      </c>
      <c r="AY44" s="156">
        <f t="shared" si="76"/>
        <v>0</v>
      </c>
      <c r="BA44" s="2"/>
      <c r="BB44" s="2"/>
      <c r="BC44" s="2"/>
      <c r="BD44" s="2"/>
      <c r="BE44" s="2"/>
      <c r="BF44" s="2"/>
    </row>
    <row r="45" spans="1:59" s="3" customFormat="1" ht="15.95" customHeight="1" x14ac:dyDescent="0.2">
      <c r="A45" s="268" t="s">
        <v>246</v>
      </c>
      <c r="B45" s="198"/>
      <c r="C45" s="193" t="s">
        <v>20</v>
      </c>
      <c r="D45" s="194" t="s">
        <v>262</v>
      </c>
      <c r="E45" s="195" t="s">
        <v>219</v>
      </c>
      <c r="F45" s="63">
        <v>1</v>
      </c>
      <c r="G45" s="42">
        <v>4.3020000000000003E-2</v>
      </c>
      <c r="H45" s="324">
        <v>6.4638500000000002E-2</v>
      </c>
      <c r="I45" s="196"/>
      <c r="J45" s="197">
        <f t="shared" si="50"/>
        <v>500</v>
      </c>
      <c r="K45" s="41">
        <f t="shared" si="51"/>
        <v>1</v>
      </c>
      <c r="L45" s="50">
        <f t="shared" si="52"/>
        <v>2.5999999999999999E-2</v>
      </c>
      <c r="M45" s="41">
        <f xml:space="preserve"> ( 609 - $M$13 ) + $M$6 + $M$7 + M14</f>
        <v>219</v>
      </c>
      <c r="N45" s="50">
        <f t="shared" si="53"/>
        <v>1.1388000000000001E-2</v>
      </c>
      <c r="O45" s="50"/>
      <c r="P45" s="258">
        <f t="shared" si="54"/>
        <v>2.4703199999999996</v>
      </c>
      <c r="Q45" s="258">
        <f t="shared" si="55"/>
        <v>1.5811799999999998</v>
      </c>
      <c r="R45" s="259">
        <f t="shared" si="56"/>
        <v>4.051499999999999</v>
      </c>
      <c r="S45" s="260"/>
      <c r="T45" s="261">
        <f t="shared" si="57"/>
        <v>7.6026499999999997E-2</v>
      </c>
      <c r="U45" s="178">
        <v>201.6</v>
      </c>
      <c r="V45" s="178">
        <f t="shared" si="58"/>
        <v>201.6</v>
      </c>
      <c r="W45" s="178">
        <v>0</v>
      </c>
      <c r="X45" s="215">
        <f t="shared" si="59"/>
        <v>15.326942399999998</v>
      </c>
      <c r="Y45" s="215">
        <f t="shared" si="60"/>
        <v>201.6</v>
      </c>
      <c r="Z45" s="216">
        <f t="shared" si="61"/>
        <v>3.0899115878399992</v>
      </c>
      <c r="AA45" s="217"/>
      <c r="AB45" s="175" t="s">
        <v>172</v>
      </c>
      <c r="AC45" s="218" t="s">
        <v>63</v>
      </c>
      <c r="AD45" s="41">
        <v>32</v>
      </c>
      <c r="AE45" s="41">
        <v>300</v>
      </c>
      <c r="AF45" s="63">
        <f t="shared" si="62"/>
        <v>9.6</v>
      </c>
      <c r="AG45" s="219">
        <f t="shared" si="63"/>
        <v>0.64512000000000003</v>
      </c>
      <c r="AH45" s="219"/>
      <c r="AI45" s="220">
        <f t="shared" si="64"/>
        <v>12.518000000000001</v>
      </c>
      <c r="AJ45" s="178">
        <f t="shared" si="65"/>
        <v>148</v>
      </c>
      <c r="AK45" s="178">
        <f t="shared" si="66"/>
        <v>28.000000000000004</v>
      </c>
      <c r="AL45" s="219"/>
      <c r="AM45" s="220">
        <v>1.5</v>
      </c>
      <c r="AN45" s="178">
        <f t="shared" si="67"/>
        <v>8</v>
      </c>
      <c r="AO45" s="178">
        <f t="shared" si="68"/>
        <v>8</v>
      </c>
      <c r="AP45" s="178">
        <f t="shared" si="69"/>
        <v>17.142857142857142</v>
      </c>
      <c r="AQ45" s="90"/>
      <c r="AR45" s="270"/>
      <c r="AS45" s="97">
        <f t="shared" si="70"/>
        <v>3.7350315878399996</v>
      </c>
      <c r="AT45" s="89">
        <f t="shared" si="71"/>
        <v>4.1500350975999991</v>
      </c>
      <c r="AU45" s="159">
        <f t="shared" si="72"/>
        <v>4.9976337880539488</v>
      </c>
      <c r="AV45" s="232">
        <f t="shared" si="77"/>
        <v>47.896694999999994</v>
      </c>
      <c r="AW45" s="232">
        <f t="shared" si="77"/>
        <v>67.199999999999989</v>
      </c>
      <c r="AX45" s="155">
        <f t="shared" si="75"/>
        <v>2</v>
      </c>
      <c r="AY45" s="156">
        <f t="shared" si="76"/>
        <v>0</v>
      </c>
      <c r="BA45" s="2"/>
      <c r="BB45" s="2"/>
      <c r="BC45" s="2"/>
      <c r="BD45" s="2"/>
      <c r="BE45" s="2"/>
      <c r="BF45" s="2"/>
    </row>
    <row r="46" spans="1:59" s="3" customFormat="1" ht="15.95" customHeight="1" x14ac:dyDescent="0.2">
      <c r="A46" s="268" t="s">
        <v>247</v>
      </c>
      <c r="B46" s="198"/>
      <c r="C46" s="193" t="s">
        <v>20</v>
      </c>
      <c r="D46" s="194" t="s">
        <v>263</v>
      </c>
      <c r="E46" s="195" t="s">
        <v>217</v>
      </c>
      <c r="F46" s="63">
        <v>1</v>
      </c>
      <c r="G46" s="264">
        <v>6.0227999999999997E-2</v>
      </c>
      <c r="H46" s="324">
        <v>3.92517E-2</v>
      </c>
      <c r="I46" s="196"/>
      <c r="J46" s="197">
        <f t="shared" si="50"/>
        <v>500</v>
      </c>
      <c r="K46" s="41">
        <f t="shared" si="51"/>
        <v>1</v>
      </c>
      <c r="L46" s="50">
        <f t="shared" si="52"/>
        <v>2.5999999999999999E-2</v>
      </c>
      <c r="M46" s="41">
        <f xml:space="preserve"> ( 617 - $M$13 ) + $M$6 + $M$7 + M14</f>
        <v>227</v>
      </c>
      <c r="N46" s="50">
        <f t="shared" si="53"/>
        <v>1.1804E-2</v>
      </c>
      <c r="O46" s="50"/>
      <c r="P46" s="258">
        <f t="shared" si="54"/>
        <v>2.5605599999999997</v>
      </c>
      <c r="Q46" s="258">
        <f t="shared" si="55"/>
        <v>1.6389400000000001</v>
      </c>
      <c r="R46" s="259">
        <f t="shared" si="56"/>
        <v>4.1994999999999996</v>
      </c>
      <c r="S46" s="260"/>
      <c r="T46" s="261">
        <f t="shared" si="57"/>
        <v>5.1055700000000002E-2</v>
      </c>
      <c r="U46" s="178">
        <v>273.5</v>
      </c>
      <c r="V46" s="178">
        <f t="shared" si="58"/>
        <v>273.5</v>
      </c>
      <c r="W46" s="178">
        <v>0</v>
      </c>
      <c r="X46" s="215">
        <f t="shared" si="59"/>
        <v>13.96373395</v>
      </c>
      <c r="Y46" s="215">
        <f t="shared" si="60"/>
        <v>273.5</v>
      </c>
      <c r="Z46" s="216">
        <f t="shared" si="61"/>
        <v>3.8190812353249997</v>
      </c>
      <c r="AA46" s="217"/>
      <c r="AB46" s="175" t="s">
        <v>172</v>
      </c>
      <c r="AC46" s="218" t="s">
        <v>63</v>
      </c>
      <c r="AD46" s="41">
        <v>50</v>
      </c>
      <c r="AE46" s="41">
        <v>400</v>
      </c>
      <c r="AF46" s="63">
        <f t="shared" si="62"/>
        <v>20</v>
      </c>
      <c r="AG46" s="219">
        <f t="shared" si="63"/>
        <v>1.3674999999999999</v>
      </c>
      <c r="AH46" s="219"/>
      <c r="AI46" s="220">
        <f t="shared" si="64"/>
        <v>18.55</v>
      </c>
      <c r="AJ46" s="178">
        <f t="shared" si="65"/>
        <v>148</v>
      </c>
      <c r="AK46" s="178">
        <f t="shared" si="66"/>
        <v>28.000000000000004</v>
      </c>
      <c r="AL46" s="219"/>
      <c r="AM46" s="220">
        <v>1.5</v>
      </c>
      <c r="AN46" s="178">
        <f t="shared" si="67"/>
        <v>8</v>
      </c>
      <c r="AO46" s="178">
        <f t="shared" si="68"/>
        <v>8</v>
      </c>
      <c r="AP46" s="178">
        <f t="shared" si="69"/>
        <v>17.142857142857142</v>
      </c>
      <c r="AQ46" s="90"/>
      <c r="AR46" s="270"/>
      <c r="AS46" s="97">
        <f t="shared" si="70"/>
        <v>5.1865812353249998</v>
      </c>
      <c r="AT46" s="89">
        <f t="shared" si="71"/>
        <v>5.7628680392499998</v>
      </c>
      <c r="AU46" s="159">
        <f t="shared" si="72"/>
        <v>6.9398699894629097</v>
      </c>
      <c r="AV46" s="232">
        <f t="shared" si="77"/>
        <v>27.927467900000003</v>
      </c>
      <c r="AW46" s="232">
        <f t="shared" si="77"/>
        <v>68.375</v>
      </c>
      <c r="AX46" s="155">
        <f t="shared" si="75"/>
        <v>2</v>
      </c>
      <c r="AY46" s="156">
        <f t="shared" si="76"/>
        <v>0</v>
      </c>
      <c r="BA46" s="2"/>
      <c r="BB46" s="2"/>
      <c r="BC46" s="2"/>
      <c r="BD46" s="2"/>
      <c r="BE46" s="2"/>
      <c r="BF46" s="2"/>
    </row>
    <row r="47" spans="1:59" s="3" customFormat="1" ht="15.95" customHeight="1" x14ac:dyDescent="0.2">
      <c r="A47" s="207" t="s">
        <v>264</v>
      </c>
      <c r="B47" s="198"/>
      <c r="C47" s="193"/>
      <c r="D47" s="194"/>
      <c r="E47" s="195"/>
      <c r="F47" s="63"/>
      <c r="G47" s="264"/>
      <c r="H47" s="324"/>
      <c r="I47" s="196"/>
      <c r="J47" s="197"/>
      <c r="K47" s="41"/>
      <c r="L47" s="50"/>
      <c r="M47" s="41"/>
      <c r="N47" s="50"/>
      <c r="O47" s="50"/>
      <c r="P47" s="51"/>
      <c r="Q47" s="51"/>
      <c r="R47" s="52"/>
      <c r="S47" s="6"/>
      <c r="T47" s="66"/>
      <c r="U47" s="63"/>
      <c r="V47" s="63"/>
      <c r="W47" s="63"/>
      <c r="X47" s="67"/>
      <c r="Y47" s="67"/>
      <c r="Z47" s="68"/>
      <c r="AA47" s="16"/>
      <c r="AB47" s="174"/>
      <c r="AC47" s="40"/>
      <c r="AD47" s="41"/>
      <c r="AE47" s="41"/>
      <c r="AF47" s="63"/>
      <c r="AG47" s="88"/>
      <c r="AH47" s="88"/>
      <c r="AI47" s="89"/>
      <c r="AJ47" s="63"/>
      <c r="AK47" s="63"/>
      <c r="AL47" s="88"/>
      <c r="AM47" s="89"/>
      <c r="AN47" s="63"/>
      <c r="AO47" s="63"/>
      <c r="AP47" s="63"/>
      <c r="AQ47" s="90"/>
      <c r="AR47" s="270"/>
      <c r="AS47" s="315">
        <f>SUM(AS28:AS46)</f>
        <v>130.17552401366598</v>
      </c>
      <c r="AT47" s="316">
        <f>SUM(AT28:AT46)</f>
        <v>351.80833814144773</v>
      </c>
      <c r="AU47" s="317">
        <f>SUM(AU28:AU46)</f>
        <v>423.66129352293814</v>
      </c>
      <c r="AV47" s="232"/>
      <c r="AW47" s="232"/>
      <c r="AX47" s="318">
        <f>SUM(AX28:AX46)</f>
        <v>36</v>
      </c>
      <c r="AY47" s="319">
        <f>SUM(AY28:AY46)</f>
        <v>4</v>
      </c>
      <c r="BA47" s="310"/>
      <c r="BB47" s="311" t="s">
        <v>287</v>
      </c>
      <c r="BC47" s="312">
        <f>AS47</f>
        <v>130.17552401366598</v>
      </c>
      <c r="BD47" s="313" t="s">
        <v>54</v>
      </c>
      <c r="BE47" s="2"/>
      <c r="BF47" s="2"/>
    </row>
    <row r="48" spans="1:59" s="3" customFormat="1" ht="15.95" customHeight="1" x14ac:dyDescent="0.2">
      <c r="A48" s="299"/>
      <c r="B48" s="198"/>
      <c r="C48" s="300" t="s">
        <v>265</v>
      </c>
      <c r="D48" s="301"/>
      <c r="E48" s="195"/>
      <c r="F48" s="63"/>
      <c r="G48" s="264"/>
      <c r="H48" s="324"/>
      <c r="I48" s="196"/>
      <c r="J48" s="197"/>
      <c r="K48" s="41"/>
      <c r="L48" s="50"/>
      <c r="M48" s="41"/>
      <c r="N48" s="50"/>
      <c r="O48" s="50"/>
      <c r="P48" s="51"/>
      <c r="Q48" s="51"/>
      <c r="R48" s="52"/>
      <c r="S48" s="6"/>
      <c r="T48" s="66"/>
      <c r="U48" s="63"/>
      <c r="V48" s="63"/>
      <c r="W48" s="63"/>
      <c r="X48" s="67"/>
      <c r="Y48" s="67"/>
      <c r="Z48" s="68"/>
      <c r="AA48" s="16"/>
      <c r="AB48" s="174"/>
      <c r="AC48" s="40"/>
      <c r="AD48" s="41"/>
      <c r="AE48" s="41"/>
      <c r="AF48" s="63"/>
      <c r="AG48" s="88"/>
      <c r="AH48" s="88"/>
      <c r="AI48" s="89"/>
      <c r="AJ48" s="63"/>
      <c r="AK48" s="63"/>
      <c r="AL48" s="88"/>
      <c r="AM48" s="89"/>
      <c r="AN48" s="63"/>
      <c r="AO48" s="63"/>
      <c r="AP48" s="63"/>
      <c r="AQ48" s="90"/>
      <c r="AR48" s="270"/>
      <c r="AS48" s="97"/>
      <c r="AT48" s="89"/>
      <c r="AU48" s="159"/>
      <c r="AV48" s="232"/>
      <c r="AW48" s="232"/>
      <c r="AX48" s="155"/>
      <c r="AY48" s="156"/>
      <c r="BA48" s="310"/>
      <c r="BB48" s="311" t="s">
        <v>288</v>
      </c>
      <c r="BC48" s="314">
        <f>AT47</f>
        <v>351.80833814144773</v>
      </c>
      <c r="BD48" s="313" t="s">
        <v>17</v>
      </c>
      <c r="BE48" s="2"/>
      <c r="BF48" s="2"/>
    </row>
    <row r="49" spans="1:58" s="3" customFormat="1" ht="15.95" customHeight="1" x14ac:dyDescent="0.2">
      <c r="A49" s="269" t="s">
        <v>266</v>
      </c>
      <c r="B49" s="198"/>
      <c r="C49" s="262" t="s">
        <v>21</v>
      </c>
      <c r="D49" s="263" t="s">
        <v>283</v>
      </c>
      <c r="E49" s="200" t="s">
        <v>164</v>
      </c>
      <c r="F49" s="63">
        <v>1</v>
      </c>
      <c r="G49" s="42">
        <v>1.0699999999999999E-2</v>
      </c>
      <c r="H49" s="324">
        <v>2.7E-2</v>
      </c>
      <c r="I49" s="196"/>
      <c r="J49" s="197">
        <f t="shared" ref="J49:J58" si="78" xml:space="preserve"> IF(Y49&gt;100, 500, 100)</f>
        <v>500</v>
      </c>
      <c r="K49" s="41">
        <f t="shared" ref="K49:K58" si="79" xml:space="preserve"> ROUNDUP(IF(J49=500, Y49/300, Y49/100),0)</f>
        <v>4</v>
      </c>
      <c r="L49" s="50">
        <f t="shared" ref="L49:L58" si="80">IF(J49=500, 0.026, 0.122)</f>
        <v>2.5999999999999999E-2</v>
      </c>
      <c r="M49" s="41">
        <f xml:space="preserve"> $M$6 + $M$11 + ( $M$12-672 )+M14</f>
        <v>118</v>
      </c>
      <c r="N49" s="50">
        <f t="shared" ref="N49:N58" si="81">2*M49*(L49/K49)/1000</f>
        <v>1.534E-3</v>
      </c>
      <c r="O49" s="50"/>
      <c r="P49" s="258">
        <f t="shared" ref="P49:P58" si="82" xml:space="preserve"> IF(J49=500, (2 * K49 * M49 * $K$4/1000), (2 * K49 * M49 * $K$5/1000))</f>
        <v>5.32416</v>
      </c>
      <c r="Q49" s="258">
        <f t="shared" ref="Q49:Q58" si="83" xml:space="preserve"> IF(J49=500, (2 * K49 * M49 * $N$4/1000), (2 * K49 * M49 * $N$5/1000))</f>
        <v>3.4078399999999998</v>
      </c>
      <c r="R49" s="259">
        <f t="shared" ref="R49:R54" si="84">P49+Q49</f>
        <v>8.7319999999999993</v>
      </c>
      <c r="S49" s="260"/>
      <c r="T49" s="261">
        <f t="shared" ref="T49:T58" si="85">(F49*H49+N49)</f>
        <v>2.8534E-2</v>
      </c>
      <c r="U49" s="178">
        <v>970</v>
      </c>
      <c r="V49" s="178">
        <f t="shared" ref="V49:V58" si="86">U49</f>
        <v>970</v>
      </c>
      <c r="W49" s="178">
        <v>0</v>
      </c>
      <c r="X49" s="215">
        <f t="shared" ref="X49:X58" si="87">T49*U49+F49*W49*G49</f>
        <v>27.677980000000002</v>
      </c>
      <c r="Y49" s="215">
        <f t="shared" si="23"/>
        <v>970</v>
      </c>
      <c r="Z49" s="216">
        <f t="shared" ref="Z49:Z58" si="88">U49*X49/1000</f>
        <v>26.847640600000002</v>
      </c>
      <c r="AA49" s="217"/>
      <c r="AB49" s="187" t="s">
        <v>179</v>
      </c>
      <c r="AC49" s="218" t="s">
        <v>63</v>
      </c>
      <c r="AD49" s="177">
        <v>32</v>
      </c>
      <c r="AE49" s="177">
        <v>1350</v>
      </c>
      <c r="AF49" s="178">
        <f t="shared" ref="AF49:AF58" si="89">AD49*AE49/1000</f>
        <v>43.2</v>
      </c>
      <c r="AG49" s="219">
        <f t="shared" ref="AG49:AG58" si="90">$AF$3*(AD49*Y49)/1000</f>
        <v>3.1040000000000001</v>
      </c>
      <c r="AH49" s="219"/>
      <c r="AI49" s="220">
        <f t="shared" ref="AI49:AI58" si="91" xml:space="preserve"> IF(   AC49 = "SM",      (AF49*$AF$6   +   $AE$86   +    $W$79),       IF(AC49 ="SCR",   ( AF49*$AF$7 + $L$93),     IF(AC49="4QSM", (   (AF49/$F$78)*$E$78  +  (AF49/$F$79) * $E$79),    "????")  )    )</f>
        <v>32.006</v>
      </c>
      <c r="AJ49" s="178">
        <f t="shared" ref="AJ49:AJ58" si="92" xml:space="preserve">  IF(   AC49="SM",     (  SUM($V$87:$V$88)  +  SUM($AF$89:$AF$90)   ) * 40,    IF(AC49="SCR",   ($V$88+$AF$90)*40,  IF(AC49="4QSM", (   (AF49/$F$78)*$E$82  +  (AF49/$F$79) * $E$83), "?????")       )       )</f>
        <v>148</v>
      </c>
      <c r="AK49" s="178">
        <f t="shared" ref="AK49:AK58" si="93" xml:space="preserve">  IF(   AC49="SM",     (  SUM($W$87:$W$88)  +  SUM($AG$89:$AG$90)   ) * 40,    IF(AC49="SCR",   ($W$88+$AG$90)*40,  IF(AC49="4QSM", (   (AF49/$F$78)*$E$85  +  (AF49/$F$79) * $E$86),  "?????")     )         )</f>
        <v>28.000000000000004</v>
      </c>
      <c r="AL49" s="219"/>
      <c r="AM49" s="220">
        <v>1.5</v>
      </c>
      <c r="AN49" s="178">
        <f t="shared" ref="AN49:AN58" si="94" xml:space="preserve"> $AF$91 *40</f>
        <v>8</v>
      </c>
      <c r="AO49" s="178">
        <f t="shared" ref="AO49:AO58" si="95" xml:space="preserve"> $AG$91 * 40</f>
        <v>8</v>
      </c>
      <c r="AP49" s="178">
        <f t="shared" ref="AP49:AP58" si="96" xml:space="preserve"> $W$81</f>
        <v>17.142857142857142</v>
      </c>
      <c r="AQ49" s="90"/>
      <c r="AR49" s="270"/>
      <c r="AS49" s="97">
        <f t="shared" ref="AS49:AS58" si="97">T49*Y49^2/1000+AG49</f>
        <v>29.951640599999998</v>
      </c>
      <c r="AT49" s="89">
        <f t="shared" ref="AT49:AT58" si="98">IF(    AC49="SM", AS49/$AF$4,     IF(    AC49="4QSM", AS49/$AF$4,    AS49/(X49/AD49)   )         )</f>
        <v>33.27960066666666</v>
      </c>
      <c r="AU49" s="159">
        <f t="shared" ref="AU49:AU54" si="99">(AT49*1000)/(480*1.73)</f>
        <v>40.07659039820166</v>
      </c>
      <c r="AV49" s="232">
        <f t="shared" si="21"/>
        <v>86.493687500000007</v>
      </c>
      <c r="AW49" s="232">
        <f t="shared" si="22"/>
        <v>71.851851851851862</v>
      </c>
      <c r="AX49" s="155">
        <f t="shared" ref="AX49:AX54" si="100">IF(J49=500, (K49*2), 0)</f>
        <v>8</v>
      </c>
      <c r="AY49" s="156">
        <f t="shared" ref="AY49:AY54" si="101">IF((J49=100), (K49*2), 0)</f>
        <v>0</v>
      </c>
      <c r="BA49" s="265"/>
      <c r="BE49" s="2"/>
      <c r="BF49" s="2"/>
    </row>
    <row r="50" spans="1:58" s="3" customFormat="1" ht="15.95" customHeight="1" x14ac:dyDescent="0.2">
      <c r="A50" s="269" t="s">
        <v>267</v>
      </c>
      <c r="B50" s="198"/>
      <c r="C50" s="193" t="s">
        <v>20</v>
      </c>
      <c r="D50" s="194" t="s">
        <v>274</v>
      </c>
      <c r="E50" s="200" t="s">
        <v>162</v>
      </c>
      <c r="F50" s="63">
        <v>2</v>
      </c>
      <c r="G50" s="42">
        <v>3.04E-2</v>
      </c>
      <c r="H50" s="324">
        <v>8.1832999999999993E-3</v>
      </c>
      <c r="I50" s="196"/>
      <c r="J50" s="197">
        <f t="shared" si="78"/>
        <v>500</v>
      </c>
      <c r="K50" s="41">
        <f t="shared" si="79"/>
        <v>3</v>
      </c>
      <c r="L50" s="50">
        <f t="shared" si="80"/>
        <v>2.5999999999999999E-2</v>
      </c>
      <c r="M50" s="41">
        <f xml:space="preserve"> $M$6 + $M$11 + ( $M$12 - 675 ) + ( 770 - $M$12)+M14</f>
        <v>185</v>
      </c>
      <c r="N50" s="50">
        <f t="shared" si="81"/>
        <v>3.2066666666666667E-3</v>
      </c>
      <c r="O50" s="50"/>
      <c r="P50" s="258">
        <f t="shared" si="82"/>
        <v>6.2603999999999997</v>
      </c>
      <c r="Q50" s="258">
        <f t="shared" si="83"/>
        <v>4.0071000000000003</v>
      </c>
      <c r="R50" s="259">
        <f t="shared" si="84"/>
        <v>10.2675</v>
      </c>
      <c r="S50" s="260"/>
      <c r="T50" s="261">
        <f t="shared" si="85"/>
        <v>1.9573266666666665E-2</v>
      </c>
      <c r="U50" s="178">
        <v>787.8</v>
      </c>
      <c r="V50" s="178">
        <f t="shared" si="86"/>
        <v>787.8</v>
      </c>
      <c r="W50" s="178">
        <v>0</v>
      </c>
      <c r="X50" s="215">
        <f t="shared" si="87"/>
        <v>15.419819479999997</v>
      </c>
      <c r="Y50" s="215">
        <f t="shared" si="23"/>
        <v>787.8</v>
      </c>
      <c r="Z50" s="216">
        <f t="shared" si="88"/>
        <v>12.147733786343997</v>
      </c>
      <c r="AA50" s="217"/>
      <c r="AB50" s="187" t="s">
        <v>179</v>
      </c>
      <c r="AC50" s="218" t="s">
        <v>63</v>
      </c>
      <c r="AD50" s="177">
        <v>32</v>
      </c>
      <c r="AE50" s="177">
        <v>1350</v>
      </c>
      <c r="AF50" s="178">
        <f t="shared" si="89"/>
        <v>43.2</v>
      </c>
      <c r="AG50" s="219">
        <f t="shared" si="90"/>
        <v>2.5209600000000001</v>
      </c>
      <c r="AH50" s="219"/>
      <c r="AI50" s="220">
        <f t="shared" si="91"/>
        <v>32.006</v>
      </c>
      <c r="AJ50" s="178">
        <f t="shared" si="92"/>
        <v>148</v>
      </c>
      <c r="AK50" s="178">
        <f t="shared" si="93"/>
        <v>28.000000000000004</v>
      </c>
      <c r="AL50" s="219"/>
      <c r="AM50" s="220">
        <v>1.5</v>
      </c>
      <c r="AN50" s="178">
        <f t="shared" si="94"/>
        <v>8</v>
      </c>
      <c r="AO50" s="178">
        <f t="shared" si="95"/>
        <v>8</v>
      </c>
      <c r="AP50" s="178">
        <f t="shared" si="96"/>
        <v>17.142857142857142</v>
      </c>
      <c r="AQ50" s="90"/>
      <c r="AR50" s="270"/>
      <c r="AS50" s="97">
        <f t="shared" si="97"/>
        <v>14.668693786343999</v>
      </c>
      <c r="AT50" s="89">
        <f t="shared" si="98"/>
        <v>16.298548651493331</v>
      </c>
      <c r="AU50" s="159">
        <f t="shared" si="99"/>
        <v>19.627346641971737</v>
      </c>
      <c r="AV50" s="232">
        <f t="shared" si="21"/>
        <v>48.186935874999989</v>
      </c>
      <c r="AW50" s="232">
        <f t="shared" si="22"/>
        <v>58.355555555555547</v>
      </c>
      <c r="AX50" s="155">
        <f t="shared" si="100"/>
        <v>6</v>
      </c>
      <c r="AY50" s="156">
        <f t="shared" si="101"/>
        <v>0</v>
      </c>
      <c r="BE50" s="2"/>
      <c r="BF50" s="2"/>
    </row>
    <row r="51" spans="1:58" s="3" customFormat="1" ht="15.95" customHeight="1" x14ac:dyDescent="0.2">
      <c r="A51" s="269" t="s">
        <v>268</v>
      </c>
      <c r="B51" s="198"/>
      <c r="C51" s="193" t="s">
        <v>20</v>
      </c>
      <c r="D51" s="194" t="s">
        <v>275</v>
      </c>
      <c r="E51" s="200" t="s">
        <v>163</v>
      </c>
      <c r="F51" s="63">
        <v>2</v>
      </c>
      <c r="G51" s="42">
        <v>3.44E-2</v>
      </c>
      <c r="H51" s="324">
        <v>8.7892000000000005E-3</v>
      </c>
      <c r="I51" s="196"/>
      <c r="J51" s="197">
        <f t="shared" si="78"/>
        <v>500</v>
      </c>
      <c r="K51" s="41">
        <f t="shared" si="79"/>
        <v>5</v>
      </c>
      <c r="L51" s="50">
        <f t="shared" si="80"/>
        <v>2.5999999999999999E-2</v>
      </c>
      <c r="M51" s="41">
        <f xml:space="preserve"> $M$6 + $M$11 + ( $M$12 - 686 ) + ( 760 - $M$12)+M14</f>
        <v>164</v>
      </c>
      <c r="N51" s="50">
        <f t="shared" si="81"/>
        <v>1.7056E-3</v>
      </c>
      <c r="O51" s="50"/>
      <c r="P51" s="258">
        <f t="shared" si="82"/>
        <v>9.2496000000000009</v>
      </c>
      <c r="Q51" s="258">
        <f t="shared" si="83"/>
        <v>5.9203999999999999</v>
      </c>
      <c r="R51" s="259">
        <f t="shared" si="84"/>
        <v>15.170000000000002</v>
      </c>
      <c r="S51" s="260"/>
      <c r="T51" s="261">
        <f t="shared" si="85"/>
        <v>1.9284000000000003E-2</v>
      </c>
      <c r="U51" s="178">
        <v>1364.1</v>
      </c>
      <c r="V51" s="178">
        <f t="shared" si="86"/>
        <v>1364.1</v>
      </c>
      <c r="W51" s="178">
        <v>0</v>
      </c>
      <c r="X51" s="215">
        <f t="shared" si="87"/>
        <v>26.305304400000001</v>
      </c>
      <c r="Y51" s="215">
        <f t="shared" si="23"/>
        <v>1364.1</v>
      </c>
      <c r="Z51" s="216">
        <f t="shared" si="88"/>
        <v>35.883065732040002</v>
      </c>
      <c r="AA51" s="217"/>
      <c r="AB51" s="187" t="s">
        <v>179</v>
      </c>
      <c r="AC51" s="218" t="s">
        <v>65</v>
      </c>
      <c r="AD51" s="177">
        <v>37.5</v>
      </c>
      <c r="AE51" s="177">
        <v>2000</v>
      </c>
      <c r="AF51" s="178">
        <f t="shared" si="89"/>
        <v>75</v>
      </c>
      <c r="AG51" s="219">
        <f t="shared" si="90"/>
        <v>5.1153750000000002</v>
      </c>
      <c r="AH51" s="219"/>
      <c r="AI51" s="220">
        <f t="shared" si="91"/>
        <v>53</v>
      </c>
      <c r="AJ51" s="178">
        <f t="shared" si="92"/>
        <v>28</v>
      </c>
      <c r="AK51" s="178">
        <f t="shared" si="93"/>
        <v>12.000000000000002</v>
      </c>
      <c r="AL51" s="219"/>
      <c r="AM51" s="220">
        <v>1.5</v>
      </c>
      <c r="AN51" s="178">
        <f t="shared" si="94"/>
        <v>8</v>
      </c>
      <c r="AO51" s="178">
        <f t="shared" si="95"/>
        <v>8</v>
      </c>
      <c r="AP51" s="178">
        <f t="shared" si="96"/>
        <v>17.142857142857142</v>
      </c>
      <c r="AQ51" s="90"/>
      <c r="AR51" s="270"/>
      <c r="AS51" s="97">
        <f t="shared" si="97"/>
        <v>40.998440732040002</v>
      </c>
      <c r="AT51" s="89">
        <f t="shared" si="98"/>
        <v>58.446064872433105</v>
      </c>
      <c r="AU51" s="159">
        <f t="shared" si="99"/>
        <v>70.383026098787454</v>
      </c>
      <c r="AV51" s="232">
        <f t="shared" si="21"/>
        <v>70.147478400000011</v>
      </c>
      <c r="AW51" s="232">
        <f t="shared" si="22"/>
        <v>68.204999999999998</v>
      </c>
      <c r="AX51" s="155">
        <f t="shared" si="100"/>
        <v>10</v>
      </c>
      <c r="AY51" s="156">
        <f t="shared" si="101"/>
        <v>0</v>
      </c>
      <c r="BA51" s="296" t="s">
        <v>238</v>
      </c>
      <c r="BB51" s="2"/>
      <c r="BC51" s="2"/>
      <c r="BD51" s="2"/>
      <c r="BE51" s="2"/>
      <c r="BF51" s="2"/>
    </row>
    <row r="52" spans="1:58" s="3" customFormat="1" ht="15.95" customHeight="1" x14ac:dyDescent="0.2">
      <c r="A52" s="269" t="s">
        <v>213</v>
      </c>
      <c r="B52" s="198"/>
      <c r="C52" s="193" t="s">
        <v>20</v>
      </c>
      <c r="D52" s="194" t="s">
        <v>276</v>
      </c>
      <c r="E52" s="200" t="s">
        <v>162</v>
      </c>
      <c r="F52" s="63">
        <v>2</v>
      </c>
      <c r="G52" s="42">
        <v>3.04E-2</v>
      </c>
      <c r="H52" s="324">
        <v>8.1832999999999993E-3</v>
      </c>
      <c r="I52" s="196"/>
      <c r="J52" s="197">
        <f t="shared" si="78"/>
        <v>500</v>
      </c>
      <c r="K52" s="41">
        <f t="shared" si="79"/>
        <v>3</v>
      </c>
      <c r="L52" s="50">
        <f t="shared" si="80"/>
        <v>2.5999999999999999E-2</v>
      </c>
      <c r="M52" s="41">
        <f xml:space="preserve"> $M$6 + $M$11 + ( 743 - $M$12 )+M14</f>
        <v>133</v>
      </c>
      <c r="N52" s="50">
        <f t="shared" si="81"/>
        <v>2.3053333333333328E-3</v>
      </c>
      <c r="O52" s="50"/>
      <c r="P52" s="258">
        <f t="shared" si="82"/>
        <v>4.5007199999999994</v>
      </c>
      <c r="Q52" s="258">
        <f t="shared" si="83"/>
        <v>2.8807799999999997</v>
      </c>
      <c r="R52" s="259">
        <f t="shared" si="84"/>
        <v>7.3814999999999991</v>
      </c>
      <c r="S52" s="260"/>
      <c r="T52" s="261">
        <f t="shared" si="85"/>
        <v>1.8671933333333331E-2</v>
      </c>
      <c r="U52" s="178">
        <v>814.2</v>
      </c>
      <c r="V52" s="178">
        <f t="shared" si="86"/>
        <v>814.2</v>
      </c>
      <c r="W52" s="178">
        <v>0</v>
      </c>
      <c r="X52" s="215">
        <f t="shared" si="87"/>
        <v>15.202688119999999</v>
      </c>
      <c r="Y52" s="215">
        <f t="shared" si="23"/>
        <v>814.2</v>
      </c>
      <c r="Z52" s="216">
        <f t="shared" si="88"/>
        <v>12.378028667304001</v>
      </c>
      <c r="AA52" s="217"/>
      <c r="AB52" s="187" t="s">
        <v>179</v>
      </c>
      <c r="AC52" s="218" t="s">
        <v>63</v>
      </c>
      <c r="AD52" s="177">
        <v>32</v>
      </c>
      <c r="AE52" s="177">
        <v>1350</v>
      </c>
      <c r="AF52" s="178">
        <f t="shared" si="89"/>
        <v>43.2</v>
      </c>
      <c r="AG52" s="219">
        <f t="shared" si="90"/>
        <v>2.6054400000000006</v>
      </c>
      <c r="AH52" s="219"/>
      <c r="AI52" s="220">
        <f t="shared" si="91"/>
        <v>32.006</v>
      </c>
      <c r="AJ52" s="178">
        <f t="shared" si="92"/>
        <v>148</v>
      </c>
      <c r="AK52" s="178">
        <f t="shared" si="93"/>
        <v>28.000000000000004</v>
      </c>
      <c r="AL52" s="219"/>
      <c r="AM52" s="220">
        <v>1.5</v>
      </c>
      <c r="AN52" s="178">
        <f t="shared" si="94"/>
        <v>8</v>
      </c>
      <c r="AO52" s="178">
        <f t="shared" si="95"/>
        <v>8</v>
      </c>
      <c r="AP52" s="178">
        <f t="shared" si="96"/>
        <v>17.142857142857142</v>
      </c>
      <c r="AQ52" s="90"/>
      <c r="AR52" s="270"/>
      <c r="AS52" s="97">
        <f t="shared" si="97"/>
        <v>14.983468667304003</v>
      </c>
      <c r="AT52" s="89">
        <f t="shared" si="98"/>
        <v>16.648298519226667</v>
      </c>
      <c r="AU52" s="159">
        <f t="shared" si="99"/>
        <v>20.048529045311497</v>
      </c>
      <c r="AV52" s="232">
        <f t="shared" si="21"/>
        <v>47.508400375000001</v>
      </c>
      <c r="AW52" s="232">
        <f t="shared" si="22"/>
        <v>60.311111111111117</v>
      </c>
      <c r="AX52" s="155">
        <f t="shared" si="100"/>
        <v>6</v>
      </c>
      <c r="AY52" s="156">
        <f t="shared" si="101"/>
        <v>0</v>
      </c>
      <c r="BD52" s="2"/>
      <c r="BE52" s="2"/>
      <c r="BF52" s="2"/>
    </row>
    <row r="53" spans="1:58" s="3" customFormat="1" ht="15.95" customHeight="1" x14ac:dyDescent="0.2">
      <c r="A53" s="269" t="s">
        <v>214</v>
      </c>
      <c r="B53" s="198"/>
      <c r="C53" s="193" t="s">
        <v>20</v>
      </c>
      <c r="D53" s="194" t="s">
        <v>277</v>
      </c>
      <c r="E53" s="200" t="s">
        <v>19</v>
      </c>
      <c r="F53" s="63">
        <v>1</v>
      </c>
      <c r="G53" s="42">
        <v>4.3020000000000003E-2</v>
      </c>
      <c r="H53" s="324">
        <v>3.2338499999999999E-2</v>
      </c>
      <c r="I53" s="196"/>
      <c r="J53" s="197">
        <f t="shared" si="78"/>
        <v>500</v>
      </c>
      <c r="K53" s="41">
        <f t="shared" si="79"/>
        <v>1</v>
      </c>
      <c r="L53" s="50">
        <f t="shared" si="80"/>
        <v>2.5999999999999999E-2</v>
      </c>
      <c r="M53" s="41">
        <f xml:space="preserve"> $M$6 + $M$11 + ( 722 - $M$12 )+M14</f>
        <v>112</v>
      </c>
      <c r="N53" s="50">
        <f t="shared" si="81"/>
        <v>5.8240000000000002E-3</v>
      </c>
      <c r="O53" s="50"/>
      <c r="P53" s="258">
        <f t="shared" si="82"/>
        <v>1.2633599999999998</v>
      </c>
      <c r="Q53" s="258">
        <f t="shared" si="83"/>
        <v>0.80864000000000003</v>
      </c>
      <c r="R53" s="259">
        <f t="shared" si="84"/>
        <v>2.0720000000000001</v>
      </c>
      <c r="S53" s="260"/>
      <c r="T53" s="261">
        <f t="shared" si="85"/>
        <v>3.8162500000000002E-2</v>
      </c>
      <c r="U53" s="178">
        <v>208.6</v>
      </c>
      <c r="V53" s="178">
        <f t="shared" si="86"/>
        <v>208.6</v>
      </c>
      <c r="W53" s="178">
        <v>0</v>
      </c>
      <c r="X53" s="215">
        <f t="shared" si="87"/>
        <v>7.9606975000000002</v>
      </c>
      <c r="Y53" s="215">
        <f t="shared" si="23"/>
        <v>208.6</v>
      </c>
      <c r="Z53" s="216">
        <f t="shared" si="88"/>
        <v>1.6606014984999999</v>
      </c>
      <c r="AA53" s="217"/>
      <c r="AB53" s="187" t="s">
        <v>179</v>
      </c>
      <c r="AC53" s="218" t="s">
        <v>63</v>
      </c>
      <c r="AD53" s="41">
        <v>32</v>
      </c>
      <c r="AE53" s="41">
        <v>300</v>
      </c>
      <c r="AF53" s="178">
        <f t="shared" si="89"/>
        <v>9.6</v>
      </c>
      <c r="AG53" s="219">
        <f t="shared" si="90"/>
        <v>0.66752</v>
      </c>
      <c r="AH53" s="219"/>
      <c r="AI53" s="220">
        <f t="shared" si="91"/>
        <v>12.518000000000001</v>
      </c>
      <c r="AJ53" s="178">
        <f t="shared" si="92"/>
        <v>148</v>
      </c>
      <c r="AK53" s="178">
        <f t="shared" si="93"/>
        <v>28.000000000000004</v>
      </c>
      <c r="AL53" s="219"/>
      <c r="AM53" s="220">
        <v>1.5</v>
      </c>
      <c r="AN53" s="178">
        <f t="shared" si="94"/>
        <v>8</v>
      </c>
      <c r="AO53" s="178">
        <f t="shared" si="95"/>
        <v>8</v>
      </c>
      <c r="AP53" s="178">
        <f t="shared" si="96"/>
        <v>17.142857142857142</v>
      </c>
      <c r="AQ53" s="90"/>
      <c r="AR53" s="270"/>
      <c r="AS53" s="97">
        <f t="shared" si="97"/>
        <v>2.3281214985000003</v>
      </c>
      <c r="AT53" s="89">
        <f t="shared" si="98"/>
        <v>2.5868016650000003</v>
      </c>
      <c r="AU53" s="159">
        <f t="shared" si="99"/>
        <v>3.1151272459055881</v>
      </c>
      <c r="AV53" s="232">
        <f t="shared" si="21"/>
        <v>24.8771796875</v>
      </c>
      <c r="AW53" s="232">
        <f t="shared" si="22"/>
        <v>69.533333333333331</v>
      </c>
      <c r="AX53" s="155">
        <f t="shared" si="100"/>
        <v>2</v>
      </c>
      <c r="AY53" s="156">
        <f t="shared" si="101"/>
        <v>0</v>
      </c>
      <c r="BD53" s="2"/>
      <c r="BE53" s="2"/>
      <c r="BF53" s="2"/>
    </row>
    <row r="54" spans="1:58" s="3" customFormat="1" ht="15.95" customHeight="1" x14ac:dyDescent="0.2">
      <c r="A54" s="269" t="s">
        <v>269</v>
      </c>
      <c r="B54" s="198"/>
      <c r="C54" s="262" t="s">
        <v>21</v>
      </c>
      <c r="D54" s="263" t="s">
        <v>292</v>
      </c>
      <c r="E54" s="200" t="s">
        <v>164</v>
      </c>
      <c r="F54" s="63">
        <v>1</v>
      </c>
      <c r="G54" s="42">
        <v>1.0699999999999999E-2</v>
      </c>
      <c r="H54" s="324">
        <v>2.7E-2</v>
      </c>
      <c r="I54" s="196"/>
      <c r="J54" s="197">
        <f t="shared" si="78"/>
        <v>500</v>
      </c>
      <c r="K54" s="41">
        <f t="shared" si="79"/>
        <v>2</v>
      </c>
      <c r="L54" s="50">
        <f t="shared" si="80"/>
        <v>2.5999999999999999E-2</v>
      </c>
      <c r="M54" s="41">
        <f xml:space="preserve"> $M$6 + $M$11 + ( 729 - $M$12 )+M14</f>
        <v>119</v>
      </c>
      <c r="N54" s="50">
        <f t="shared" si="81"/>
        <v>3.094E-3</v>
      </c>
      <c r="O54" s="50"/>
      <c r="P54" s="258">
        <f t="shared" si="82"/>
        <v>2.6846399999999999</v>
      </c>
      <c r="Q54" s="258">
        <f t="shared" si="83"/>
        <v>1.7183599999999999</v>
      </c>
      <c r="R54" s="259">
        <f t="shared" si="84"/>
        <v>4.4029999999999996</v>
      </c>
      <c r="S54" s="260"/>
      <c r="T54" s="261">
        <f t="shared" si="85"/>
        <v>3.0093999999999999E-2</v>
      </c>
      <c r="U54" s="178">
        <v>303.10000000000002</v>
      </c>
      <c r="V54" s="178">
        <f t="shared" si="86"/>
        <v>303.10000000000002</v>
      </c>
      <c r="W54" s="178">
        <v>0</v>
      </c>
      <c r="X54" s="215">
        <f t="shared" si="87"/>
        <v>9.1214914</v>
      </c>
      <c r="Y54" s="215">
        <f t="shared" si="23"/>
        <v>303.10000000000002</v>
      </c>
      <c r="Z54" s="216">
        <f t="shared" si="88"/>
        <v>2.7647240433400002</v>
      </c>
      <c r="AA54" s="217"/>
      <c r="AB54" s="187" t="s">
        <v>179</v>
      </c>
      <c r="AC54" s="218" t="s">
        <v>63</v>
      </c>
      <c r="AD54" s="41">
        <v>20</v>
      </c>
      <c r="AE54" s="41">
        <v>500</v>
      </c>
      <c r="AF54" s="178">
        <f t="shared" si="89"/>
        <v>10</v>
      </c>
      <c r="AG54" s="219">
        <f t="shared" si="90"/>
        <v>0.60620000000000007</v>
      </c>
      <c r="AH54" s="219"/>
      <c r="AI54" s="220">
        <f t="shared" si="91"/>
        <v>12.75</v>
      </c>
      <c r="AJ54" s="178">
        <f t="shared" si="92"/>
        <v>148</v>
      </c>
      <c r="AK54" s="178">
        <f t="shared" si="93"/>
        <v>28.000000000000004</v>
      </c>
      <c r="AL54" s="219"/>
      <c r="AM54" s="220">
        <v>1.5</v>
      </c>
      <c r="AN54" s="178">
        <f t="shared" si="94"/>
        <v>8</v>
      </c>
      <c r="AO54" s="178">
        <f t="shared" si="95"/>
        <v>8</v>
      </c>
      <c r="AP54" s="178">
        <f t="shared" si="96"/>
        <v>17.142857142857142</v>
      </c>
      <c r="AQ54" s="90"/>
      <c r="AR54" s="270"/>
      <c r="AS54" s="97">
        <f t="shared" si="97"/>
        <v>3.3709240433400005</v>
      </c>
      <c r="AT54" s="89">
        <f t="shared" si="98"/>
        <v>3.7454711592666672</v>
      </c>
      <c r="AU54" s="159">
        <f t="shared" si="99"/>
        <v>4.510442147479127</v>
      </c>
      <c r="AV54" s="232">
        <f t="shared" si="21"/>
        <v>45.607457000000004</v>
      </c>
      <c r="AW54" s="232">
        <f t="shared" si="22"/>
        <v>60.620000000000005</v>
      </c>
      <c r="AX54" s="155">
        <f t="shared" si="100"/>
        <v>4</v>
      </c>
      <c r="AY54" s="156">
        <f t="shared" si="101"/>
        <v>0</v>
      </c>
      <c r="BA54" s="2"/>
      <c r="BB54" s="2"/>
      <c r="BC54" s="2"/>
      <c r="BD54" s="2"/>
      <c r="BE54" s="2"/>
      <c r="BF54" s="2"/>
    </row>
    <row r="55" spans="1:58" s="3" customFormat="1" ht="15.95" customHeight="1" x14ac:dyDescent="0.2">
      <c r="A55" s="269" t="s">
        <v>270</v>
      </c>
      <c r="B55" s="192"/>
      <c r="C55" s="262" t="s">
        <v>21</v>
      </c>
      <c r="D55" s="263" t="s">
        <v>284</v>
      </c>
      <c r="E55" s="200" t="s">
        <v>164</v>
      </c>
      <c r="F55" s="63">
        <v>1</v>
      </c>
      <c r="G55" s="42">
        <v>1.0699999999999999E-2</v>
      </c>
      <c r="H55" s="324">
        <v>2.7E-2</v>
      </c>
      <c r="I55" s="196"/>
      <c r="J55" s="197">
        <f t="shared" si="78"/>
        <v>500</v>
      </c>
      <c r="K55" s="41">
        <f t="shared" si="79"/>
        <v>2</v>
      </c>
      <c r="L55" s="50">
        <f t="shared" si="80"/>
        <v>2.5999999999999999E-2</v>
      </c>
      <c r="M55" s="41">
        <f xml:space="preserve"> $M$6 + $M$11 + ( 735 - $M$12 )+M14</f>
        <v>125</v>
      </c>
      <c r="N55" s="50">
        <f t="shared" si="81"/>
        <v>3.2499999999999999E-3</v>
      </c>
      <c r="O55" s="50"/>
      <c r="P55" s="258">
        <f t="shared" si="82"/>
        <v>2.82</v>
      </c>
      <c r="Q55" s="258">
        <f t="shared" si="83"/>
        <v>1.8049999999999999</v>
      </c>
      <c r="R55" s="52">
        <f xml:space="preserve"> P55 + Q55</f>
        <v>4.625</v>
      </c>
      <c r="S55" s="6"/>
      <c r="T55" s="66">
        <f t="shared" si="85"/>
        <v>3.0249999999999999E-2</v>
      </c>
      <c r="U55" s="178">
        <v>545.6</v>
      </c>
      <c r="V55" s="63">
        <f t="shared" si="86"/>
        <v>545.6</v>
      </c>
      <c r="W55" s="63">
        <v>0</v>
      </c>
      <c r="X55" s="67">
        <f t="shared" si="87"/>
        <v>16.5044</v>
      </c>
      <c r="Y55" s="67">
        <f t="shared" si="23"/>
        <v>545.6</v>
      </c>
      <c r="Z55" s="68">
        <f t="shared" si="88"/>
        <v>9.0048006400000009</v>
      </c>
      <c r="AA55" s="16"/>
      <c r="AB55" s="187" t="s">
        <v>179</v>
      </c>
      <c r="AC55" s="218" t="s">
        <v>63</v>
      </c>
      <c r="AD55" s="177">
        <v>32</v>
      </c>
      <c r="AE55" s="177">
        <v>1350</v>
      </c>
      <c r="AF55" s="63">
        <f t="shared" si="89"/>
        <v>43.2</v>
      </c>
      <c r="AG55" s="88">
        <f t="shared" si="90"/>
        <v>1.7459200000000001</v>
      </c>
      <c r="AH55" s="88"/>
      <c r="AI55" s="89">
        <f t="shared" si="91"/>
        <v>32.006</v>
      </c>
      <c r="AJ55" s="63">
        <f t="shared" si="92"/>
        <v>148</v>
      </c>
      <c r="AK55" s="63">
        <f t="shared" si="93"/>
        <v>28.000000000000004</v>
      </c>
      <c r="AL55" s="88"/>
      <c r="AM55" s="89">
        <v>1.5</v>
      </c>
      <c r="AN55" s="63">
        <f t="shared" si="94"/>
        <v>8</v>
      </c>
      <c r="AO55" s="63">
        <f t="shared" si="95"/>
        <v>8</v>
      </c>
      <c r="AP55" s="63">
        <f t="shared" si="96"/>
        <v>17.142857142857142</v>
      </c>
      <c r="AQ55" s="90"/>
      <c r="AR55" s="270"/>
      <c r="AS55" s="97">
        <f t="shared" si="97"/>
        <v>10.750720640000001</v>
      </c>
      <c r="AT55" s="89">
        <f t="shared" si="98"/>
        <v>11.945245155555556</v>
      </c>
      <c r="AU55" s="159">
        <f>(AT55*1000)/(480*1.73)</f>
        <v>14.384929137229717</v>
      </c>
      <c r="AV55" s="232">
        <f t="shared" si="21"/>
        <v>51.576250000000002</v>
      </c>
      <c r="AW55" s="232">
        <f t="shared" si="22"/>
        <v>40.414814814814818</v>
      </c>
      <c r="AX55" s="155">
        <f>IF(J55=500, (K55*2), 0)</f>
        <v>4</v>
      </c>
      <c r="AY55" s="156">
        <f>IF((J55=100), (K55*2), 0)</f>
        <v>0</v>
      </c>
      <c r="BA55" s="2"/>
      <c r="BB55" s="2"/>
      <c r="BC55" s="2"/>
      <c r="BD55" s="2"/>
      <c r="BE55" s="2"/>
      <c r="BF55" s="2"/>
    </row>
    <row r="56" spans="1:58" s="3" customFormat="1" ht="15.95" customHeight="1" x14ac:dyDescent="0.2">
      <c r="A56" s="269" t="s">
        <v>271</v>
      </c>
      <c r="B56" s="192"/>
      <c r="C56" s="262" t="s">
        <v>21</v>
      </c>
      <c r="D56" s="263" t="s">
        <v>291</v>
      </c>
      <c r="E56" s="200" t="s">
        <v>164</v>
      </c>
      <c r="F56" s="63">
        <v>1</v>
      </c>
      <c r="G56" s="42">
        <v>1.0699999999999999E-2</v>
      </c>
      <c r="H56" s="324">
        <v>2.7E-2</v>
      </c>
      <c r="I56" s="196"/>
      <c r="J56" s="197">
        <f xml:space="preserve"> IF(Y56&gt;100, 500, 100)</f>
        <v>500</v>
      </c>
      <c r="K56" s="41">
        <f xml:space="preserve"> ROUNDUP(IF(J56=500, Y56/300, Y56/100),0)</f>
        <v>3</v>
      </c>
      <c r="L56" s="50">
        <f>IF(J56=500, 0.026, 0.122)</f>
        <v>2.5999999999999999E-2</v>
      </c>
      <c r="M56" s="41">
        <f xml:space="preserve"> $M$6 + $M$11 + ( 766 - $M$12 )+M14</f>
        <v>156</v>
      </c>
      <c r="N56" s="50">
        <f>2*M56*(L56/K56)/1000</f>
        <v>2.7039999999999998E-3</v>
      </c>
      <c r="O56" s="50"/>
      <c r="P56" s="258">
        <f t="shared" si="82"/>
        <v>5.2790400000000002</v>
      </c>
      <c r="Q56" s="258">
        <f t="shared" si="83"/>
        <v>3.3789600000000002</v>
      </c>
      <c r="R56" s="52">
        <f xml:space="preserve"> P56 + Q56</f>
        <v>8.6580000000000013</v>
      </c>
      <c r="S56" s="6"/>
      <c r="T56" s="66">
        <f>(F56*H56+N56)</f>
        <v>2.9704000000000001E-2</v>
      </c>
      <c r="U56" s="63">
        <v>852.8</v>
      </c>
      <c r="V56" s="63">
        <f>U56</f>
        <v>852.8</v>
      </c>
      <c r="W56" s="63">
        <v>0</v>
      </c>
      <c r="X56" s="67">
        <f>T56*U56+F56*W56*G56</f>
        <v>25.331571199999999</v>
      </c>
      <c r="Y56" s="67">
        <f>SQRT(V56^2 + V56*(U56-V56) + (1/3)*(U56-V56)^2)</f>
        <v>852.8</v>
      </c>
      <c r="Z56" s="68">
        <f>U56*X56/1000</f>
        <v>21.602763919359997</v>
      </c>
      <c r="AA56" s="16"/>
      <c r="AB56" s="187" t="s">
        <v>179</v>
      </c>
      <c r="AC56" s="218" t="s">
        <v>63</v>
      </c>
      <c r="AD56" s="177">
        <v>32</v>
      </c>
      <c r="AE56" s="177">
        <v>1350</v>
      </c>
      <c r="AF56" s="63">
        <f>AD56*AE56/1000</f>
        <v>43.2</v>
      </c>
      <c r="AG56" s="88">
        <f>$AF$3*(AD56*Y56)/1000</f>
        <v>2.7289599999999998</v>
      </c>
      <c r="AH56" s="88"/>
      <c r="AI56" s="89">
        <f t="shared" si="91"/>
        <v>32.006</v>
      </c>
      <c r="AJ56" s="63">
        <f t="shared" si="92"/>
        <v>148</v>
      </c>
      <c r="AK56" s="63">
        <f t="shared" si="93"/>
        <v>28.000000000000004</v>
      </c>
      <c r="AL56" s="88"/>
      <c r="AM56" s="89">
        <v>1.5</v>
      </c>
      <c r="AN56" s="63">
        <f t="shared" si="94"/>
        <v>8</v>
      </c>
      <c r="AO56" s="63">
        <f t="shared" si="95"/>
        <v>8</v>
      </c>
      <c r="AP56" s="63">
        <f t="shared" si="96"/>
        <v>17.142857142857142</v>
      </c>
      <c r="AQ56" s="90"/>
      <c r="AR56" s="270"/>
      <c r="AS56" s="97">
        <f>T56*Y56^2/1000+AG56</f>
        <v>24.331723919360002</v>
      </c>
      <c r="AT56" s="89">
        <f>IF(    AC56="SM", AS56/$AF$4,     IF(    AC56="4QSM", AS56/$AF$4,    AS56/(X56/AD56)   )         )</f>
        <v>27.03524879928889</v>
      </c>
      <c r="AU56" s="159">
        <f>(AT56*1000)/(480*1.73)</f>
        <v>32.556898843074286</v>
      </c>
      <c r="AV56" s="232">
        <f t="shared" si="21"/>
        <v>79.161159999999995</v>
      </c>
      <c r="AW56" s="232">
        <f t="shared" si="22"/>
        <v>63.170370370370364</v>
      </c>
      <c r="AX56" s="155">
        <f>IF(J56=500, (K56*2), 0)</f>
        <v>6</v>
      </c>
      <c r="AY56" s="156">
        <f>IF((J56=100), (K56*2), 0)</f>
        <v>0</v>
      </c>
      <c r="BA56" s="2"/>
      <c r="BB56" s="2"/>
      <c r="BC56" s="2"/>
      <c r="BD56" s="2"/>
      <c r="BE56" s="2"/>
      <c r="BF56" s="2"/>
    </row>
    <row r="57" spans="1:58" s="3" customFormat="1" ht="15.95" customHeight="1" x14ac:dyDescent="0.2">
      <c r="A57" s="269" t="s">
        <v>272</v>
      </c>
      <c r="B57" s="192"/>
      <c r="C57" s="262" t="s">
        <v>21</v>
      </c>
      <c r="D57" s="263" t="s">
        <v>285</v>
      </c>
      <c r="E57" s="200" t="s">
        <v>164</v>
      </c>
      <c r="F57" s="63">
        <v>1</v>
      </c>
      <c r="G57" s="42">
        <v>1.0699999999999999E-2</v>
      </c>
      <c r="H57" s="324">
        <v>2.7E-2</v>
      </c>
      <c r="I57" s="196"/>
      <c r="J57" s="197">
        <f xml:space="preserve"> IF(Y57&gt;100, 500, 100)</f>
        <v>500</v>
      </c>
      <c r="K57" s="41">
        <f xml:space="preserve"> ROUNDUP(IF(J57=500, Y57/300, Y57/100),0)</f>
        <v>4</v>
      </c>
      <c r="L57" s="50">
        <f>IF(J57=500, 0.026, 0.122)</f>
        <v>2.5999999999999999E-2</v>
      </c>
      <c r="M57" s="41">
        <f xml:space="preserve"> $M$6 + $M$11 + ( 776 - $M$12 )+M14</f>
        <v>166</v>
      </c>
      <c r="N57" s="50">
        <f>2*M57*(L57/K57)/1000</f>
        <v>2.1579999999999998E-3</v>
      </c>
      <c r="O57" s="50"/>
      <c r="P57" s="258">
        <f t="shared" si="82"/>
        <v>7.4899199999999988</v>
      </c>
      <c r="Q57" s="258">
        <f t="shared" si="83"/>
        <v>4.7940800000000001</v>
      </c>
      <c r="R57" s="52">
        <f xml:space="preserve"> P57 + Q57</f>
        <v>12.283999999999999</v>
      </c>
      <c r="S57" s="6"/>
      <c r="T57" s="66">
        <f>(F57*H57+N57)</f>
        <v>2.9158E-2</v>
      </c>
      <c r="U57" s="178">
        <v>970</v>
      </c>
      <c r="V57" s="63">
        <f>U57</f>
        <v>970</v>
      </c>
      <c r="W57" s="63">
        <v>0</v>
      </c>
      <c r="X57" s="67">
        <f>T57*U57+F57*W57*G57</f>
        <v>28.283259999999999</v>
      </c>
      <c r="Y57" s="67">
        <f>SQRT(V57^2 + V57*(U57-V57) + (1/3)*(U57-V57)^2)</f>
        <v>970</v>
      </c>
      <c r="Z57" s="68">
        <f>U57*X57/1000</f>
        <v>27.434762199999998</v>
      </c>
      <c r="AA57" s="16"/>
      <c r="AB57" s="187" t="s">
        <v>179</v>
      </c>
      <c r="AC57" s="218" t="s">
        <v>63</v>
      </c>
      <c r="AD57" s="177">
        <v>32</v>
      </c>
      <c r="AE57" s="177">
        <v>1350</v>
      </c>
      <c r="AF57" s="63">
        <f>AD57*AE57/1000</f>
        <v>43.2</v>
      </c>
      <c r="AG57" s="88">
        <f>$AF$3*(AD57*Y57)/1000</f>
        <v>3.1040000000000001</v>
      </c>
      <c r="AH57" s="88"/>
      <c r="AI57" s="89">
        <f t="shared" si="91"/>
        <v>32.006</v>
      </c>
      <c r="AJ57" s="63">
        <f t="shared" si="92"/>
        <v>148</v>
      </c>
      <c r="AK57" s="63">
        <f t="shared" si="93"/>
        <v>28.000000000000004</v>
      </c>
      <c r="AL57" s="88"/>
      <c r="AM57" s="89">
        <v>1.5</v>
      </c>
      <c r="AN57" s="63">
        <f t="shared" si="94"/>
        <v>8</v>
      </c>
      <c r="AO57" s="63">
        <f t="shared" si="95"/>
        <v>8</v>
      </c>
      <c r="AP57" s="63">
        <f t="shared" si="96"/>
        <v>17.142857142857142</v>
      </c>
      <c r="AQ57" s="90"/>
      <c r="AR57" s="270"/>
      <c r="AS57" s="97">
        <f>T57*Y57^2/1000+AG57</f>
        <v>30.538762200000001</v>
      </c>
      <c r="AT57" s="89">
        <f>IF(    AC57="SM", AS57/$AF$4,     IF(    AC57="4QSM", AS57/$AF$4,    AS57/(X57/AD57)   )         )</f>
        <v>33.931958000000002</v>
      </c>
      <c r="AU57" s="159">
        <f>(AT57*1000)/(480*1.73)</f>
        <v>40.862184489402694</v>
      </c>
      <c r="AV57" s="232">
        <f t="shared" si="21"/>
        <v>88.385187500000001</v>
      </c>
      <c r="AW57" s="232">
        <f t="shared" si="22"/>
        <v>71.851851851851862</v>
      </c>
      <c r="AX57" s="155">
        <f>IF(J57=500, (K57*2), 0)</f>
        <v>8</v>
      </c>
      <c r="AY57" s="156">
        <f>IF((J57=100), (K57*2), 0)</f>
        <v>0</v>
      </c>
      <c r="BA57" s="266"/>
      <c r="BD57" s="2"/>
      <c r="BE57" s="2"/>
      <c r="BF57" s="2"/>
    </row>
    <row r="58" spans="1:58" s="3" customFormat="1" ht="15.95" customHeight="1" x14ac:dyDescent="0.2">
      <c r="A58" s="269" t="s">
        <v>273</v>
      </c>
      <c r="B58" s="192"/>
      <c r="C58" s="262" t="s">
        <v>21</v>
      </c>
      <c r="D58" s="263" t="s">
        <v>286</v>
      </c>
      <c r="E58" s="200" t="s">
        <v>164</v>
      </c>
      <c r="F58" s="63">
        <v>1</v>
      </c>
      <c r="G58" s="42">
        <v>1.0699999999999999E-2</v>
      </c>
      <c r="H58" s="324">
        <v>2.7E-2</v>
      </c>
      <c r="I58" s="196"/>
      <c r="J58" s="197">
        <f t="shared" si="78"/>
        <v>500</v>
      </c>
      <c r="K58" s="41">
        <f t="shared" si="79"/>
        <v>2</v>
      </c>
      <c r="L58" s="50">
        <f t="shared" si="80"/>
        <v>2.5999999999999999E-2</v>
      </c>
      <c r="M58" s="41">
        <f xml:space="preserve"> $M$6 + $M$11 + ( 782 - $M$12 )+M14</f>
        <v>172</v>
      </c>
      <c r="N58" s="50">
        <f t="shared" si="81"/>
        <v>4.4719999999999994E-3</v>
      </c>
      <c r="O58" s="50"/>
      <c r="P58" s="258">
        <f t="shared" si="82"/>
        <v>3.8803199999999998</v>
      </c>
      <c r="Q58" s="258">
        <f t="shared" si="83"/>
        <v>2.4836799999999997</v>
      </c>
      <c r="R58" s="52">
        <f xml:space="preserve"> P58 + Q58</f>
        <v>6.363999999999999</v>
      </c>
      <c r="S58" s="6"/>
      <c r="T58" s="66">
        <f t="shared" si="85"/>
        <v>3.1472E-2</v>
      </c>
      <c r="U58" s="63">
        <v>586</v>
      </c>
      <c r="V58" s="63">
        <f t="shared" si="86"/>
        <v>586</v>
      </c>
      <c r="W58" s="63">
        <v>0</v>
      </c>
      <c r="X58" s="67">
        <f t="shared" si="87"/>
        <v>18.442592000000001</v>
      </c>
      <c r="Y58" s="67">
        <f t="shared" si="23"/>
        <v>586</v>
      </c>
      <c r="Z58" s="68">
        <f t="shared" si="88"/>
        <v>10.807358912000002</v>
      </c>
      <c r="AA58" s="16"/>
      <c r="AB58" s="187" t="s">
        <v>179</v>
      </c>
      <c r="AC58" s="218" t="s">
        <v>63</v>
      </c>
      <c r="AD58" s="177">
        <v>32</v>
      </c>
      <c r="AE58" s="177">
        <v>1350</v>
      </c>
      <c r="AF58" s="63">
        <f t="shared" si="89"/>
        <v>43.2</v>
      </c>
      <c r="AG58" s="88">
        <f t="shared" si="90"/>
        <v>1.8752</v>
      </c>
      <c r="AH58" s="88"/>
      <c r="AI58" s="89">
        <f t="shared" si="91"/>
        <v>32.006</v>
      </c>
      <c r="AJ58" s="63">
        <f t="shared" si="92"/>
        <v>148</v>
      </c>
      <c r="AK58" s="63">
        <f t="shared" si="93"/>
        <v>28.000000000000004</v>
      </c>
      <c r="AL58" s="88"/>
      <c r="AM58" s="89">
        <v>1.5</v>
      </c>
      <c r="AN58" s="63">
        <f t="shared" si="94"/>
        <v>8</v>
      </c>
      <c r="AO58" s="63">
        <f t="shared" si="95"/>
        <v>8</v>
      </c>
      <c r="AP58" s="63">
        <f t="shared" si="96"/>
        <v>17.142857142857142</v>
      </c>
      <c r="AQ58" s="90"/>
      <c r="AR58" s="270"/>
      <c r="AS58" s="97">
        <f t="shared" si="97"/>
        <v>12.682558911999999</v>
      </c>
      <c r="AT58" s="89">
        <f t="shared" si="98"/>
        <v>14.091732124444443</v>
      </c>
      <c r="AU58" s="159">
        <f>(AT58*1000)/(480*1.73)</f>
        <v>16.969812288589164</v>
      </c>
      <c r="AV58" s="232">
        <f t="shared" si="21"/>
        <v>57.633100000000006</v>
      </c>
      <c r="AW58" s="232">
        <f t="shared" si="22"/>
        <v>43.407407407407405</v>
      </c>
      <c r="AX58" s="155">
        <f>IF(J58=500, (K58*2), 0)</f>
        <v>4</v>
      </c>
      <c r="AY58" s="156">
        <f>IF((J58=100), (K58*2), 0)</f>
        <v>0</v>
      </c>
      <c r="BA58" s="189"/>
      <c r="BB58" s="199" t="s">
        <v>181</v>
      </c>
      <c r="BC58" s="239">
        <f>AS59</f>
        <v>184.60505499888802</v>
      </c>
      <c r="BD58" s="190" t="s">
        <v>54</v>
      </c>
      <c r="BE58" s="2"/>
      <c r="BF58" s="2"/>
    </row>
    <row r="59" spans="1:58" s="3" customFormat="1" ht="15.95" customHeight="1" thickBot="1" x14ac:dyDescent="0.25">
      <c r="A59" s="234" t="s">
        <v>224</v>
      </c>
      <c r="B59" s="198"/>
      <c r="C59" s="235"/>
      <c r="D59" s="236"/>
      <c r="E59" s="204"/>
      <c r="F59" s="205"/>
      <c r="G59" s="237"/>
      <c r="H59" s="326"/>
      <c r="I59" s="196"/>
      <c r="J59" s="206"/>
      <c r="K59" s="54"/>
      <c r="L59" s="55"/>
      <c r="M59" s="54"/>
      <c r="N59" s="55"/>
      <c r="O59" s="55"/>
      <c r="P59" s="56">
        <f>SUM(P19:P58)</f>
        <v>128.69760000000002</v>
      </c>
      <c r="Q59" s="56">
        <f>SUM(Q19:Q58)</f>
        <v>82.671199999999999</v>
      </c>
      <c r="R59" s="57"/>
      <c r="S59" s="6"/>
      <c r="T59" s="70"/>
      <c r="U59" s="71"/>
      <c r="V59" s="71"/>
      <c r="W59" s="71"/>
      <c r="X59" s="72"/>
      <c r="Y59" s="72"/>
      <c r="Z59" s="73"/>
      <c r="AA59" s="16"/>
      <c r="AB59" s="238"/>
      <c r="AC59" s="91"/>
      <c r="AD59" s="209"/>
      <c r="AE59" s="209"/>
      <c r="AF59" s="92"/>
      <c r="AG59" s="93"/>
      <c r="AH59" s="93"/>
      <c r="AI59" s="94"/>
      <c r="AJ59" s="92"/>
      <c r="AK59" s="92"/>
      <c r="AL59" s="93"/>
      <c r="AM59" s="94"/>
      <c r="AN59" s="92"/>
      <c r="AO59" s="92"/>
      <c r="AP59" s="92"/>
      <c r="AQ59" s="95"/>
      <c r="AR59" s="2"/>
      <c r="AS59" s="285">
        <f>SUM(AS49:AS58)</f>
        <v>184.60505499888802</v>
      </c>
      <c r="AT59" s="286">
        <f>SUM(AT49:AT58)</f>
        <v>218.00896961337531</v>
      </c>
      <c r="AU59" s="287">
        <f>SUM(AU49:AU58)</f>
        <v>262.53488633595293</v>
      </c>
      <c r="AV59" s="290"/>
      <c r="AW59" s="290"/>
      <c r="AX59" s="288">
        <f>SUM(AX49:AX58)</f>
        <v>58</v>
      </c>
      <c r="AY59" s="289">
        <f>SUM(AY49:AY58)</f>
        <v>0</v>
      </c>
      <c r="BA59" s="189"/>
      <c r="BB59" s="199" t="s">
        <v>181</v>
      </c>
      <c r="BC59" s="240">
        <f>AT59</f>
        <v>218.00896961337531</v>
      </c>
      <c r="BD59" s="190" t="s">
        <v>17</v>
      </c>
      <c r="BE59" s="2"/>
      <c r="BF59" s="2"/>
    </row>
    <row r="60" spans="1:58" s="3" customFormat="1" ht="15.95" customHeight="1" thickTop="1" x14ac:dyDescent="0.2">
      <c r="A60" s="213"/>
      <c r="B60" s="198"/>
      <c r="C60" s="200"/>
      <c r="D60" s="202"/>
      <c r="E60" s="195"/>
      <c r="F60" s="63"/>
      <c r="G60" s="40"/>
      <c r="H60" s="327"/>
      <c r="I60" s="196"/>
      <c r="J60" s="41"/>
      <c r="K60" s="41"/>
      <c r="L60" s="50"/>
      <c r="M60" s="41"/>
      <c r="N60" s="50"/>
      <c r="O60" s="50"/>
      <c r="P60" s="51"/>
      <c r="Q60" s="51"/>
      <c r="R60" s="89"/>
      <c r="S60" s="6"/>
      <c r="T60" s="50"/>
      <c r="U60" s="63"/>
      <c r="V60" s="63"/>
      <c r="W60" s="63"/>
      <c r="X60" s="67"/>
      <c r="Y60" s="67"/>
      <c r="Z60" s="89"/>
      <c r="AA60" s="16"/>
      <c r="AB60" s="227"/>
      <c r="AC60" s="40"/>
      <c r="AD60" s="41"/>
      <c r="AE60" s="41"/>
      <c r="AF60" s="63"/>
      <c r="AG60" s="88"/>
      <c r="AH60" s="88"/>
      <c r="AI60" s="89"/>
      <c r="AJ60" s="63"/>
      <c r="AK60" s="63"/>
      <c r="AL60" s="88"/>
      <c r="AM60" s="89"/>
      <c r="AN60" s="63"/>
      <c r="AO60" s="63"/>
      <c r="AP60" s="63"/>
      <c r="AQ60" s="41"/>
      <c r="AR60" s="2"/>
      <c r="AS60" s="67"/>
      <c r="AT60" s="214"/>
      <c r="AU60" s="232"/>
      <c r="AV60" s="232"/>
      <c r="AW60" s="232"/>
      <c r="AX60" s="233"/>
      <c r="AY60" s="233"/>
      <c r="BA60" s="2"/>
      <c r="BB60" s="2"/>
      <c r="BC60" s="2"/>
      <c r="BD60" s="2"/>
      <c r="BE60" s="2"/>
      <c r="BF60" s="2"/>
    </row>
    <row r="61" spans="1:58" ht="15.95" customHeight="1" x14ac:dyDescent="0.2">
      <c r="A61" s="166"/>
      <c r="B61" s="11"/>
      <c r="C61" s="167"/>
      <c r="D61" s="168"/>
      <c r="E61" s="166"/>
      <c r="F61" s="69"/>
      <c r="G61" s="176"/>
      <c r="H61" s="328"/>
      <c r="I61" s="10"/>
      <c r="J61" s="53"/>
      <c r="K61" s="41"/>
      <c r="L61" s="50"/>
      <c r="M61" s="41"/>
      <c r="N61" s="50"/>
      <c r="O61" s="50"/>
      <c r="P61" s="51"/>
      <c r="Q61" s="51"/>
      <c r="R61" s="89"/>
      <c r="S61" s="6"/>
      <c r="T61" s="50"/>
      <c r="U61" s="69"/>
      <c r="V61" s="63"/>
      <c r="W61" s="63"/>
      <c r="X61" s="67"/>
      <c r="Y61" s="67"/>
      <c r="Z61" s="89"/>
      <c r="AA61" s="16"/>
      <c r="AB61" s="178"/>
      <c r="AC61" s="40"/>
      <c r="AD61" s="172"/>
      <c r="AE61" s="172"/>
      <c r="AF61" s="173"/>
      <c r="AG61" s="88"/>
      <c r="AH61" s="88"/>
      <c r="AI61" s="89"/>
      <c r="AJ61" s="63"/>
      <c r="AK61" s="63"/>
      <c r="AL61" s="88"/>
      <c r="AM61" s="89"/>
      <c r="AN61" s="63"/>
      <c r="AO61" s="63"/>
      <c r="AP61" s="63"/>
      <c r="AQ61" s="41"/>
      <c r="AR61" s="2"/>
      <c r="AS61" s="63"/>
      <c r="AT61" s="89"/>
      <c r="AU61" s="88"/>
      <c r="AV61" s="232"/>
      <c r="AW61" s="232"/>
      <c r="AX61" s="177"/>
      <c r="AY61" s="177"/>
      <c r="BA61" s="163"/>
      <c r="BB61" s="163"/>
      <c r="BC61" s="163"/>
      <c r="BD61" s="163"/>
      <c r="BE61" s="163"/>
      <c r="BF61" s="163"/>
    </row>
    <row r="62" spans="1:58" ht="18.75" x14ac:dyDescent="0.3">
      <c r="L62" s="108"/>
      <c r="M62" s="108"/>
      <c r="N62" s="113"/>
      <c r="O62" s="113"/>
      <c r="P62" s="113"/>
      <c r="Q62" s="114" t="s">
        <v>52</v>
      </c>
      <c r="R62" s="111">
        <f>SUM(R19:R58)</f>
        <v>211.36879999999999</v>
      </c>
      <c r="X62" s="24"/>
      <c r="Y62" s="31" t="s">
        <v>53</v>
      </c>
      <c r="Z62" s="32">
        <f>SUM(Z19:Z58)</f>
        <v>475.18642795549323</v>
      </c>
      <c r="AA62" s="27" t="s">
        <v>54</v>
      </c>
      <c r="AC62" s="108"/>
      <c r="AD62" s="108"/>
      <c r="AE62" s="108"/>
      <c r="AF62" s="109"/>
      <c r="AG62" s="106"/>
      <c r="AH62" s="110" t="s">
        <v>74</v>
      </c>
      <c r="AI62" s="111">
        <f>SUM(AI19:AI58)</f>
        <v>635.59999999999991</v>
      </c>
      <c r="AJ62" s="25"/>
      <c r="AK62" s="25"/>
      <c r="AL62" s="26"/>
      <c r="AM62" s="30"/>
      <c r="AN62" s="25"/>
      <c r="AO62" s="25"/>
      <c r="AP62" s="23" t="s">
        <v>23</v>
      </c>
      <c r="AQ62" s="28"/>
      <c r="AR62" s="33"/>
      <c r="AS62" s="34"/>
      <c r="AT62" s="35"/>
      <c r="AU62" s="160"/>
      <c r="AV62" s="293"/>
      <c r="AW62" s="293"/>
    </row>
    <row r="63" spans="1:58" ht="18.75" x14ac:dyDescent="0.3">
      <c r="D63" s="5"/>
      <c r="E63" s="163"/>
      <c r="AF63" s="107"/>
      <c r="AG63" s="108"/>
      <c r="AH63" s="108"/>
      <c r="AI63" s="144" t="s">
        <v>23</v>
      </c>
      <c r="AJ63" s="109" t="s">
        <v>68</v>
      </c>
      <c r="AK63" s="109" t="s">
        <v>69</v>
      </c>
      <c r="AL63" s="36"/>
      <c r="AM63" s="32"/>
      <c r="AN63" s="34"/>
      <c r="AO63" s="34"/>
      <c r="AP63" s="39"/>
      <c r="AQ63" s="2"/>
      <c r="AR63" s="37"/>
      <c r="AS63" s="34"/>
      <c r="AT63" s="32"/>
      <c r="AU63" s="160"/>
      <c r="AV63" s="293"/>
      <c r="AW63" s="293"/>
    </row>
    <row r="64" spans="1:58" ht="18.75" x14ac:dyDescent="0.3">
      <c r="C64" s="163"/>
      <c r="D64" s="265"/>
      <c r="E64" s="163"/>
      <c r="AF64" s="107"/>
      <c r="AG64" s="108"/>
      <c r="AH64" s="108"/>
      <c r="AI64" s="112" t="s">
        <v>67</v>
      </c>
      <c r="AJ64" s="109">
        <f>SUM(AJ19:AJ58)</f>
        <v>4820</v>
      </c>
      <c r="AK64" s="109">
        <f>SUM(AK19:AK58)</f>
        <v>932.00000000000011</v>
      </c>
      <c r="AL64" s="36"/>
      <c r="AM64" s="32"/>
      <c r="AN64" s="34"/>
      <c r="AO64" s="34"/>
      <c r="AP64" s="34"/>
      <c r="AR64" s="36"/>
      <c r="AS64" s="38"/>
      <c r="AT64" s="32"/>
      <c r="AU64" s="161"/>
      <c r="AV64" s="294"/>
      <c r="AW64" s="294"/>
    </row>
    <row r="65" spans="3:46" ht="18.75" x14ac:dyDescent="0.3">
      <c r="C65" s="163"/>
      <c r="D65" s="265"/>
      <c r="E65" s="163"/>
      <c r="AF65" s="107"/>
      <c r="AG65" s="108"/>
      <c r="AH65" s="108"/>
      <c r="AI65" s="112" t="s">
        <v>70</v>
      </c>
      <c r="AJ65" s="111">
        <f>AJ64/160</f>
        <v>30.125</v>
      </c>
      <c r="AK65" s="111">
        <f>AK64/160</f>
        <v>5.8250000000000011</v>
      </c>
      <c r="AL65" s="36"/>
      <c r="AM65" s="32"/>
      <c r="AN65" s="34"/>
      <c r="AO65" s="34"/>
      <c r="AP65" s="34"/>
    </row>
    <row r="66" spans="3:46" ht="15.75" x14ac:dyDescent="0.25">
      <c r="C66" s="163"/>
      <c r="D66" s="265"/>
      <c r="E66" s="163"/>
      <c r="AF66" s="107"/>
      <c r="AG66" s="106"/>
      <c r="AH66" s="106"/>
      <c r="AI66" s="136"/>
      <c r="AJ66" s="107"/>
      <c r="AK66" s="107"/>
      <c r="AL66" s="36"/>
      <c r="AM66" s="32"/>
      <c r="AN66" s="34"/>
      <c r="AO66" s="34"/>
      <c r="AP66" s="34"/>
    </row>
    <row r="67" spans="3:46" ht="18.75" x14ac:dyDescent="0.3">
      <c r="C67" s="163"/>
      <c r="D67" s="5"/>
      <c r="E67" s="163"/>
      <c r="AF67" s="109"/>
      <c r="AG67" s="108"/>
      <c r="AH67" s="108"/>
      <c r="AI67" s="111"/>
      <c r="AJ67" s="109"/>
      <c r="AK67" s="109"/>
      <c r="AL67" s="110" t="s">
        <v>73</v>
      </c>
      <c r="AM67" s="111">
        <f>SUM(AM19:AM58)</f>
        <v>52.5</v>
      </c>
      <c r="AN67" s="34"/>
      <c r="AO67" s="34"/>
      <c r="AP67" s="34"/>
    </row>
    <row r="68" spans="3:46" ht="18.75" x14ac:dyDescent="0.3">
      <c r="C68" s="163"/>
      <c r="D68" s="5"/>
      <c r="E68" s="163"/>
      <c r="AF68" s="107"/>
      <c r="AG68" s="106"/>
      <c r="AH68" s="106"/>
      <c r="AI68" s="111"/>
      <c r="AJ68" s="109"/>
      <c r="AK68" s="109"/>
      <c r="AL68" s="108"/>
      <c r="AM68" s="111"/>
      <c r="AN68" s="109" t="s">
        <v>68</v>
      </c>
      <c r="AO68" s="109" t="s">
        <v>72</v>
      </c>
      <c r="AP68" s="109" t="s">
        <v>58</v>
      </c>
      <c r="AT68" s="157"/>
    </row>
    <row r="69" spans="3:46" ht="18.75" x14ac:dyDescent="0.3">
      <c r="C69" s="163"/>
      <c r="D69" s="5"/>
      <c r="E69" s="163"/>
      <c r="AF69" s="107"/>
      <c r="AG69" s="106"/>
      <c r="AH69" s="106"/>
      <c r="AI69" s="111"/>
      <c r="AJ69" s="109"/>
      <c r="AK69" s="109"/>
      <c r="AL69" s="108"/>
      <c r="AM69" s="112" t="s">
        <v>71</v>
      </c>
      <c r="AN69" s="109">
        <f>SUM(AN19:AN58)</f>
        <v>280</v>
      </c>
      <c r="AO69" s="109">
        <f>SUM(AO19:AO58)</f>
        <v>280</v>
      </c>
      <c r="AP69" s="109">
        <f>SUM(AP19:AP58)</f>
        <v>600.00000000000011</v>
      </c>
    </row>
    <row r="70" spans="3:46" ht="18.75" x14ac:dyDescent="0.3">
      <c r="E70" s="5"/>
      <c r="AF70" s="107"/>
      <c r="AG70" s="106"/>
      <c r="AH70" s="106"/>
      <c r="AI70" s="111"/>
      <c r="AJ70" s="109"/>
      <c r="AK70" s="109"/>
      <c r="AL70" s="108"/>
      <c r="AM70" s="110" t="s">
        <v>70</v>
      </c>
      <c r="AN70" s="111">
        <f>AN69/160</f>
        <v>1.75</v>
      </c>
      <c r="AO70" s="111">
        <f>AO69/160</f>
        <v>1.75</v>
      </c>
      <c r="AP70" s="111">
        <f>AP69/160</f>
        <v>3.7500000000000009</v>
      </c>
    </row>
    <row r="71" spans="3:46" ht="18.75" x14ac:dyDescent="0.2">
      <c r="E71" s="5"/>
      <c r="AB71" s="228"/>
      <c r="AC71" s="229"/>
      <c r="AD71" s="229"/>
      <c r="AE71" s="229"/>
      <c r="AF71" s="228"/>
      <c r="AG71" s="229"/>
      <c r="AH71" s="230"/>
      <c r="AI71" s="231"/>
      <c r="AJ71" s="34"/>
      <c r="AK71" s="34"/>
      <c r="AL71" s="36"/>
      <c r="AM71" s="32"/>
      <c r="AN71" s="34"/>
      <c r="AO71" s="34"/>
      <c r="AP71" s="34"/>
    </row>
    <row r="74" spans="3:46" ht="15.75" x14ac:dyDescent="0.25">
      <c r="H74" s="330"/>
      <c r="I74" s="135"/>
      <c r="J74" s="137"/>
      <c r="K74" s="146" t="s">
        <v>135</v>
      </c>
      <c r="L74" s="106"/>
      <c r="M74" s="106"/>
      <c r="N74" s="135"/>
      <c r="O74" s="135"/>
      <c r="P74" s="135"/>
    </row>
    <row r="75" spans="3:46" ht="15" x14ac:dyDescent="0.25">
      <c r="D75" s="21" t="s">
        <v>143</v>
      </c>
      <c r="H75" s="330"/>
      <c r="I75" s="138" t="s">
        <v>115</v>
      </c>
      <c r="J75" s="118"/>
      <c r="K75" s="119"/>
      <c r="L75" s="119"/>
      <c r="M75" s="119"/>
      <c r="N75" s="120"/>
      <c r="O75" s="120"/>
      <c r="P75" s="120"/>
      <c r="R75" s="126"/>
      <c r="S75" s="140" t="s">
        <v>103</v>
      </c>
      <c r="T75" s="127"/>
      <c r="U75" s="127"/>
      <c r="V75" s="127"/>
      <c r="W75" s="127"/>
      <c r="X75" s="127"/>
      <c r="Y75" s="127"/>
      <c r="AA75" s="122"/>
      <c r="AB75" s="141" t="s">
        <v>100</v>
      </c>
      <c r="AC75" s="123"/>
      <c r="AD75" s="123"/>
      <c r="AE75" s="123"/>
      <c r="AF75" s="123"/>
      <c r="AG75" s="123"/>
      <c r="AH75" s="123"/>
      <c r="AI75" s="145"/>
      <c r="AK75" s="129"/>
      <c r="AL75" s="130"/>
      <c r="AM75" s="140" t="s">
        <v>87</v>
      </c>
      <c r="AN75" s="127"/>
      <c r="AO75" s="127"/>
      <c r="AP75" s="127"/>
      <c r="AQ75" s="127"/>
      <c r="AR75" s="127"/>
      <c r="AS75" s="127"/>
      <c r="AT75" s="1"/>
    </row>
    <row r="76" spans="3:46" ht="15" x14ac:dyDescent="0.25">
      <c r="D76" s="22" t="s">
        <v>147</v>
      </c>
      <c r="E76" s="22" t="s">
        <v>111</v>
      </c>
      <c r="F76" s="153" t="s">
        <v>54</v>
      </c>
      <c r="H76" s="330"/>
      <c r="I76" s="135"/>
      <c r="J76" s="121" t="s">
        <v>105</v>
      </c>
      <c r="K76" s="119" t="s">
        <v>106</v>
      </c>
      <c r="L76" s="119" t="s">
        <v>107</v>
      </c>
      <c r="M76" s="119" t="s">
        <v>108</v>
      </c>
      <c r="N76" s="120" t="s">
        <v>109</v>
      </c>
      <c r="O76" s="120"/>
      <c r="P76" s="120" t="s">
        <v>110</v>
      </c>
      <c r="R76" s="126"/>
      <c r="S76" s="128" t="s">
        <v>77</v>
      </c>
      <c r="T76" s="127">
        <v>1.3</v>
      </c>
      <c r="U76" s="127">
        <v>1</v>
      </c>
      <c r="V76" s="127">
        <f>U76*T76</f>
        <v>1.3</v>
      </c>
      <c r="W76" s="127" t="s">
        <v>137</v>
      </c>
      <c r="X76" s="127"/>
      <c r="Y76" s="127"/>
      <c r="AA76" s="122"/>
      <c r="AB76" s="124" t="s">
        <v>101</v>
      </c>
      <c r="AC76" s="123">
        <v>0.3</v>
      </c>
      <c r="AD76" s="123">
        <v>1</v>
      </c>
      <c r="AE76" s="123">
        <f>AD76*AC76</f>
        <v>0.3</v>
      </c>
      <c r="AF76" s="123" t="s">
        <v>114</v>
      </c>
      <c r="AG76" s="123"/>
      <c r="AH76" s="123"/>
      <c r="AI76" s="145"/>
      <c r="AK76" s="129"/>
      <c r="AL76" s="130"/>
      <c r="AM76" s="128" t="s">
        <v>88</v>
      </c>
      <c r="AN76" s="127">
        <v>1.6</v>
      </c>
      <c r="AO76" s="127">
        <v>1</v>
      </c>
      <c r="AP76" s="127">
        <f>AO76*AN76</f>
        <v>1.6</v>
      </c>
      <c r="AQ76" s="127" t="s">
        <v>114</v>
      </c>
      <c r="AR76" s="127"/>
      <c r="AS76" s="127"/>
      <c r="AT76" s="1"/>
    </row>
    <row r="77" spans="3:46" ht="15" x14ac:dyDescent="0.25">
      <c r="D77" s="21" t="s">
        <v>144</v>
      </c>
      <c r="H77" s="330"/>
      <c r="I77" s="135"/>
      <c r="J77" s="118"/>
      <c r="K77" s="119"/>
      <c r="L77" s="119"/>
      <c r="M77" s="119" t="s">
        <v>16</v>
      </c>
      <c r="N77" s="120" t="s">
        <v>111</v>
      </c>
      <c r="O77" s="120"/>
      <c r="P77" s="120"/>
      <c r="R77" s="126"/>
      <c r="S77" s="128" t="s">
        <v>78</v>
      </c>
      <c r="T77" s="127">
        <v>0.5</v>
      </c>
      <c r="U77" s="127">
        <v>2</v>
      </c>
      <c r="V77" s="127">
        <f>U77*T77</f>
        <v>1</v>
      </c>
      <c r="W77" s="127" t="s">
        <v>138</v>
      </c>
      <c r="X77" s="127"/>
      <c r="Y77" s="127"/>
      <c r="AA77" s="122"/>
      <c r="AB77" s="124" t="s">
        <v>89</v>
      </c>
      <c r="AC77" s="123">
        <v>0.2</v>
      </c>
      <c r="AD77" s="123">
        <v>1</v>
      </c>
      <c r="AE77" s="123">
        <f t="shared" ref="AE77:AE84" si="102">AD77*AC77</f>
        <v>0.2</v>
      </c>
      <c r="AF77" s="123" t="s">
        <v>114</v>
      </c>
      <c r="AG77" s="123"/>
      <c r="AH77" s="123"/>
      <c r="AI77" s="145"/>
      <c r="AK77" s="129"/>
      <c r="AL77" s="130"/>
      <c r="AM77" s="128" t="s">
        <v>89</v>
      </c>
      <c r="AN77" s="127">
        <v>0.2</v>
      </c>
      <c r="AO77" s="127">
        <v>1</v>
      </c>
      <c r="AP77" s="127">
        <f t="shared" ref="AP77:AP84" si="103">AO77*AN77</f>
        <v>0.2</v>
      </c>
      <c r="AQ77" s="127" t="s">
        <v>114</v>
      </c>
      <c r="AR77" s="127"/>
      <c r="AS77" s="127"/>
      <c r="AT77" s="1"/>
    </row>
    <row r="78" spans="3:46" ht="15" x14ac:dyDescent="0.25">
      <c r="D78" s="151" t="s">
        <v>145</v>
      </c>
      <c r="E78" s="1">
        <v>4</v>
      </c>
      <c r="F78" s="4">
        <v>10</v>
      </c>
      <c r="H78" s="330"/>
      <c r="I78" s="135"/>
      <c r="J78" s="121" t="s">
        <v>104</v>
      </c>
      <c r="K78" s="119">
        <v>20</v>
      </c>
      <c r="L78" s="119">
        <v>1000</v>
      </c>
      <c r="M78" s="119">
        <f t="shared" ref="M78:M83" si="104">K78*L78/1000</f>
        <v>20</v>
      </c>
      <c r="N78" s="122">
        <v>11.8</v>
      </c>
      <c r="O78" s="120"/>
      <c r="P78" s="120">
        <f t="shared" ref="P78:P83" si="105">N78/M78</f>
        <v>0.59000000000000008</v>
      </c>
      <c r="R78" s="126"/>
      <c r="S78" s="128" t="s">
        <v>79</v>
      </c>
      <c r="T78" s="127">
        <v>0.5</v>
      </c>
      <c r="U78" s="127">
        <v>1</v>
      </c>
      <c r="V78" s="127">
        <f>U78*T78</f>
        <v>0.5</v>
      </c>
      <c r="W78" s="127" t="s">
        <v>138</v>
      </c>
      <c r="X78" s="127"/>
      <c r="Y78" s="127"/>
      <c r="AA78" s="122"/>
      <c r="AB78" s="124" t="s">
        <v>90</v>
      </c>
      <c r="AC78" s="123">
        <v>0.4</v>
      </c>
      <c r="AD78" s="123">
        <v>1</v>
      </c>
      <c r="AE78" s="123">
        <f t="shared" si="102"/>
        <v>0.4</v>
      </c>
      <c r="AF78" s="123" t="s">
        <v>114</v>
      </c>
      <c r="AG78" s="123"/>
      <c r="AH78" s="123"/>
      <c r="AI78" s="145"/>
      <c r="AK78" s="129"/>
      <c r="AL78" s="130"/>
      <c r="AM78" s="128" t="s">
        <v>90</v>
      </c>
      <c r="AN78" s="127">
        <v>0.5</v>
      </c>
      <c r="AO78" s="127">
        <v>1</v>
      </c>
      <c r="AP78" s="127">
        <f t="shared" si="103"/>
        <v>0.5</v>
      </c>
      <c r="AQ78" s="127" t="s">
        <v>114</v>
      </c>
      <c r="AR78" s="127"/>
      <c r="AS78" s="127"/>
      <c r="AT78" s="1"/>
    </row>
    <row r="79" spans="3:46" ht="15" x14ac:dyDescent="0.25">
      <c r="D79" s="21" t="s">
        <v>146</v>
      </c>
      <c r="E79" s="1">
        <v>5</v>
      </c>
      <c r="F79" s="4">
        <v>22</v>
      </c>
      <c r="H79" s="330"/>
      <c r="I79" s="135"/>
      <c r="J79" s="121" t="s">
        <v>104</v>
      </c>
      <c r="K79" s="119">
        <v>32</v>
      </c>
      <c r="L79" s="119">
        <v>750</v>
      </c>
      <c r="M79" s="119">
        <f t="shared" si="104"/>
        <v>24</v>
      </c>
      <c r="N79" s="122">
        <v>14</v>
      </c>
      <c r="O79" s="120"/>
      <c r="P79" s="120">
        <f t="shared" si="105"/>
        <v>0.58333333333333337</v>
      </c>
      <c r="R79" s="126"/>
      <c r="S79" s="127"/>
      <c r="T79" s="127"/>
      <c r="U79" s="127" t="s">
        <v>121</v>
      </c>
      <c r="V79" s="127"/>
      <c r="W79" s="127">
        <f>SUM(V76:V78)</f>
        <v>2.8</v>
      </c>
      <c r="X79" s="127" t="s">
        <v>82</v>
      </c>
      <c r="Y79" s="127"/>
      <c r="AA79" s="122"/>
      <c r="AB79" s="124" t="s">
        <v>91</v>
      </c>
      <c r="AC79" s="123">
        <v>1</v>
      </c>
      <c r="AD79" s="123">
        <v>1</v>
      </c>
      <c r="AE79" s="123">
        <f t="shared" si="102"/>
        <v>1</v>
      </c>
      <c r="AF79" s="123" t="s">
        <v>114</v>
      </c>
      <c r="AG79" s="123"/>
      <c r="AH79" s="123"/>
      <c r="AI79" s="145"/>
      <c r="AK79" s="129"/>
      <c r="AL79" s="130"/>
      <c r="AM79" s="128" t="s">
        <v>91</v>
      </c>
      <c r="AN79" s="127">
        <v>1</v>
      </c>
      <c r="AO79" s="127">
        <v>1</v>
      </c>
      <c r="AP79" s="127">
        <f t="shared" si="103"/>
        <v>1</v>
      </c>
      <c r="AQ79" s="127" t="s">
        <v>114</v>
      </c>
      <c r="AR79" s="127"/>
      <c r="AS79" s="127"/>
      <c r="AT79" s="1"/>
    </row>
    <row r="80" spans="3:46" ht="15" x14ac:dyDescent="0.25">
      <c r="H80" s="330"/>
      <c r="I80" s="135"/>
      <c r="J80" s="121" t="s">
        <v>104</v>
      </c>
      <c r="K80" s="119">
        <v>40</v>
      </c>
      <c r="L80" s="119">
        <v>625</v>
      </c>
      <c r="M80" s="119">
        <f t="shared" si="104"/>
        <v>25</v>
      </c>
      <c r="N80" s="122">
        <v>14</v>
      </c>
      <c r="O80" s="120"/>
      <c r="P80" s="120">
        <f t="shared" si="105"/>
        <v>0.56000000000000005</v>
      </c>
      <c r="R80" s="126"/>
      <c r="S80" s="127"/>
      <c r="T80" s="127"/>
      <c r="U80" s="127"/>
      <c r="V80" s="127"/>
      <c r="W80" s="127"/>
      <c r="X80" s="127"/>
      <c r="Y80" s="127"/>
      <c r="AA80" s="122"/>
      <c r="AB80" s="124" t="s">
        <v>92</v>
      </c>
      <c r="AC80" s="123">
        <v>0.6</v>
      </c>
      <c r="AD80" s="123">
        <v>1</v>
      </c>
      <c r="AE80" s="123">
        <f t="shared" si="102"/>
        <v>0.6</v>
      </c>
      <c r="AF80" s="123" t="s">
        <v>114</v>
      </c>
      <c r="AG80" s="123"/>
      <c r="AH80" s="123"/>
      <c r="AI80" s="145"/>
      <c r="AK80" s="129"/>
      <c r="AL80" s="130"/>
      <c r="AM80" s="128" t="s">
        <v>92</v>
      </c>
      <c r="AN80" s="127">
        <v>0.6</v>
      </c>
      <c r="AO80" s="127">
        <v>1</v>
      </c>
      <c r="AP80" s="127">
        <f t="shared" si="103"/>
        <v>0.6</v>
      </c>
      <c r="AQ80" s="127" t="s">
        <v>114</v>
      </c>
      <c r="AR80" s="127"/>
      <c r="AS80" s="127"/>
      <c r="AT80" s="1"/>
    </row>
    <row r="81" spans="4:46" ht="15" x14ac:dyDescent="0.25">
      <c r="D81" s="22" t="s">
        <v>83</v>
      </c>
      <c r="E81" s="22" t="s">
        <v>68</v>
      </c>
      <c r="H81" s="330"/>
      <c r="I81" s="135"/>
      <c r="J81" s="121" t="s">
        <v>104</v>
      </c>
      <c r="K81" s="119">
        <v>40</v>
      </c>
      <c r="L81" s="119">
        <v>750</v>
      </c>
      <c r="M81" s="119">
        <f t="shared" si="104"/>
        <v>30</v>
      </c>
      <c r="N81" s="122">
        <v>16.399999999999999</v>
      </c>
      <c r="O81" s="120"/>
      <c r="P81" s="120">
        <f t="shared" si="105"/>
        <v>0.54666666666666663</v>
      </c>
      <c r="R81" s="126"/>
      <c r="S81" s="128" t="s">
        <v>80</v>
      </c>
      <c r="T81" s="127">
        <v>1.2</v>
      </c>
      <c r="U81" s="127">
        <v>1</v>
      </c>
      <c r="V81" s="127">
        <f>U81*T81</f>
        <v>1.2</v>
      </c>
      <c r="W81" s="127">
        <f xml:space="preserve">  (1000 * V81)/( 70)</f>
        <v>17.142857142857142</v>
      </c>
      <c r="X81" s="127" t="s">
        <v>123</v>
      </c>
      <c r="Y81" s="127"/>
      <c r="AA81" s="122"/>
      <c r="AB81" s="124" t="s">
        <v>93</v>
      </c>
      <c r="AC81" s="123">
        <v>0.5</v>
      </c>
      <c r="AD81" s="123">
        <v>1</v>
      </c>
      <c r="AE81" s="123">
        <f t="shared" si="102"/>
        <v>0.5</v>
      </c>
      <c r="AF81" s="123" t="s">
        <v>114</v>
      </c>
      <c r="AG81" s="123"/>
      <c r="AH81" s="123"/>
      <c r="AI81" s="145"/>
      <c r="AK81" s="129"/>
      <c r="AL81" s="130"/>
      <c r="AM81" s="128" t="s">
        <v>93</v>
      </c>
      <c r="AN81" s="127">
        <v>0.5</v>
      </c>
      <c r="AO81" s="127">
        <v>1</v>
      </c>
      <c r="AP81" s="127">
        <f t="shared" si="103"/>
        <v>0.5</v>
      </c>
      <c r="AQ81" s="127" t="s">
        <v>114</v>
      </c>
      <c r="AR81" s="127"/>
      <c r="AS81" s="127"/>
      <c r="AT81" s="1"/>
    </row>
    <row r="82" spans="4:46" ht="15" x14ac:dyDescent="0.25">
      <c r="D82" s="21" t="s">
        <v>148</v>
      </c>
      <c r="E82" s="1">
        <v>3</v>
      </c>
      <c r="F82" s="153" t="s">
        <v>149</v>
      </c>
      <c r="H82" s="330"/>
      <c r="I82" s="135"/>
      <c r="J82" s="121" t="s">
        <v>112</v>
      </c>
      <c r="K82" s="119">
        <v>40</v>
      </c>
      <c r="L82" s="119">
        <v>375</v>
      </c>
      <c r="M82" s="119">
        <f t="shared" si="104"/>
        <v>15</v>
      </c>
      <c r="N82" s="122">
        <v>9.3000000000000007</v>
      </c>
      <c r="O82" s="120"/>
      <c r="P82" s="120">
        <f t="shared" si="105"/>
        <v>0.62</v>
      </c>
      <c r="R82" s="126"/>
      <c r="S82" s="128" t="s">
        <v>75</v>
      </c>
      <c r="T82" s="127">
        <v>14</v>
      </c>
      <c r="U82" s="127">
        <v>1</v>
      </c>
      <c r="V82" s="127">
        <f>U82*T82</f>
        <v>14</v>
      </c>
      <c r="W82" s="127" t="s">
        <v>139</v>
      </c>
      <c r="X82" s="127"/>
      <c r="Y82" s="127"/>
      <c r="AA82" s="122"/>
      <c r="AB82" s="124" t="s">
        <v>94</v>
      </c>
      <c r="AC82" s="123">
        <v>0.5</v>
      </c>
      <c r="AD82" s="123">
        <v>1</v>
      </c>
      <c r="AE82" s="123">
        <f t="shared" si="102"/>
        <v>0.5</v>
      </c>
      <c r="AF82" s="123" t="s">
        <v>114</v>
      </c>
      <c r="AG82" s="123"/>
      <c r="AH82" s="123"/>
      <c r="AI82" s="145"/>
      <c r="AK82" s="129"/>
      <c r="AL82" s="130"/>
      <c r="AM82" s="128" t="s">
        <v>94</v>
      </c>
      <c r="AN82" s="127">
        <v>0.5</v>
      </c>
      <c r="AO82" s="127">
        <v>1</v>
      </c>
      <c r="AP82" s="127">
        <f t="shared" si="103"/>
        <v>0.5</v>
      </c>
      <c r="AQ82" s="127" t="s">
        <v>114</v>
      </c>
      <c r="AR82" s="127"/>
      <c r="AS82" s="127"/>
      <c r="AT82" s="1"/>
    </row>
    <row r="83" spans="4:46" ht="15" x14ac:dyDescent="0.25">
      <c r="D83" s="21" t="s">
        <v>150</v>
      </c>
      <c r="E83" s="1">
        <v>50</v>
      </c>
      <c r="F83" s="153" t="s">
        <v>149</v>
      </c>
      <c r="H83" s="330"/>
      <c r="I83" s="135"/>
      <c r="J83" s="121" t="s">
        <v>113</v>
      </c>
      <c r="K83" s="119">
        <v>40</v>
      </c>
      <c r="L83" s="119">
        <v>250</v>
      </c>
      <c r="M83" s="119">
        <f t="shared" si="104"/>
        <v>10</v>
      </c>
      <c r="N83" s="122">
        <v>5.8</v>
      </c>
      <c r="O83" s="120"/>
      <c r="P83" s="120">
        <f t="shared" si="105"/>
        <v>0.57999999999999996</v>
      </c>
      <c r="R83" s="126"/>
      <c r="S83" s="128" t="s">
        <v>76</v>
      </c>
      <c r="T83" s="127">
        <v>2.5</v>
      </c>
      <c r="U83" s="127">
        <v>1</v>
      </c>
      <c r="V83" s="127">
        <f>U83*T83</f>
        <v>2.5</v>
      </c>
      <c r="W83" s="127" t="s">
        <v>139</v>
      </c>
      <c r="X83" s="127"/>
      <c r="Y83" s="127"/>
      <c r="AA83" s="122"/>
      <c r="AB83" s="124" t="s">
        <v>95</v>
      </c>
      <c r="AC83" s="123">
        <v>0.15</v>
      </c>
      <c r="AD83" s="123">
        <v>3</v>
      </c>
      <c r="AE83" s="123">
        <f t="shared" si="102"/>
        <v>0.44999999999999996</v>
      </c>
      <c r="AF83" s="123" t="s">
        <v>114</v>
      </c>
      <c r="AG83" s="123"/>
      <c r="AH83" s="123"/>
      <c r="AI83" s="145"/>
      <c r="AK83" s="129"/>
      <c r="AL83" s="130"/>
      <c r="AM83" s="128" t="s">
        <v>95</v>
      </c>
      <c r="AN83" s="127">
        <v>0.15</v>
      </c>
      <c r="AO83" s="127">
        <v>4</v>
      </c>
      <c r="AP83" s="127">
        <f t="shared" si="103"/>
        <v>0.6</v>
      </c>
      <c r="AQ83" s="127" t="s">
        <v>114</v>
      </c>
      <c r="AR83" s="127"/>
      <c r="AS83" s="127"/>
      <c r="AT83" s="1"/>
    </row>
    <row r="84" spans="4:46" ht="15" x14ac:dyDescent="0.25">
      <c r="E84" s="22" t="s">
        <v>69</v>
      </c>
      <c r="H84" s="330"/>
      <c r="I84" s="106"/>
      <c r="J84" s="106"/>
      <c r="K84" s="106"/>
      <c r="L84" s="106"/>
      <c r="M84" s="106"/>
      <c r="N84" s="136"/>
      <c r="O84" s="135"/>
      <c r="P84" s="135"/>
      <c r="R84" s="126"/>
      <c r="S84" s="127"/>
      <c r="T84" s="127"/>
      <c r="U84" s="127" t="s">
        <v>81</v>
      </c>
      <c r="V84" s="127">
        <f>SUM(V76:V83)</f>
        <v>20.5</v>
      </c>
      <c r="W84" s="127" t="s">
        <v>82</v>
      </c>
      <c r="X84" s="127"/>
      <c r="Y84" s="127"/>
      <c r="AA84" s="122"/>
      <c r="AB84" s="124" t="s">
        <v>96</v>
      </c>
      <c r="AC84" s="123">
        <v>0.2</v>
      </c>
      <c r="AD84" s="123">
        <v>1</v>
      </c>
      <c r="AE84" s="123">
        <f t="shared" si="102"/>
        <v>0.2</v>
      </c>
      <c r="AF84" s="123" t="s">
        <v>97</v>
      </c>
      <c r="AG84" s="123"/>
      <c r="AH84" s="123"/>
      <c r="AI84" s="145"/>
      <c r="AK84" s="129"/>
      <c r="AL84" s="130"/>
      <c r="AM84" s="128" t="s">
        <v>96</v>
      </c>
      <c r="AN84" s="127">
        <v>0.2</v>
      </c>
      <c r="AO84" s="127">
        <v>1</v>
      </c>
      <c r="AP84" s="127">
        <f t="shared" si="103"/>
        <v>0.2</v>
      </c>
      <c r="AQ84" s="127" t="s">
        <v>97</v>
      </c>
      <c r="AR84" s="127"/>
      <c r="AS84" s="127"/>
      <c r="AT84" s="1"/>
    </row>
    <row r="85" spans="4:46" ht="18.75" x14ac:dyDescent="0.3">
      <c r="D85" s="21" t="s">
        <v>148</v>
      </c>
      <c r="E85" s="1">
        <v>3</v>
      </c>
      <c r="F85" s="153" t="s">
        <v>149</v>
      </c>
      <c r="H85" s="331" t="s">
        <v>126</v>
      </c>
      <c r="I85" s="135"/>
      <c r="J85" s="106"/>
      <c r="K85" s="106"/>
      <c r="L85" s="106"/>
      <c r="M85" s="119"/>
      <c r="N85" s="122"/>
      <c r="O85" s="120"/>
      <c r="P85" s="120"/>
      <c r="R85" s="126"/>
      <c r="S85" s="127"/>
      <c r="T85" s="127"/>
      <c r="U85" s="127"/>
      <c r="V85" s="127"/>
      <c r="W85" s="127"/>
      <c r="X85" s="127"/>
      <c r="Y85" s="127"/>
      <c r="AA85" s="122"/>
      <c r="AB85" s="123"/>
      <c r="AC85" s="123"/>
      <c r="AD85" s="123"/>
      <c r="AE85" s="123"/>
      <c r="AF85" s="123"/>
      <c r="AG85" s="123"/>
      <c r="AH85" s="123"/>
      <c r="AI85" s="145"/>
      <c r="AK85" s="129"/>
      <c r="AL85" s="130"/>
      <c r="AM85" s="127"/>
      <c r="AN85" s="127"/>
      <c r="AO85" s="127"/>
      <c r="AP85" s="127"/>
      <c r="AQ85" s="127"/>
      <c r="AR85" s="127"/>
      <c r="AS85" s="127"/>
      <c r="AT85" s="1"/>
    </row>
    <row r="86" spans="4:46" ht="15" x14ac:dyDescent="0.25">
      <c r="D86" s="21" t="s">
        <v>151</v>
      </c>
      <c r="E86" s="1">
        <v>40</v>
      </c>
      <c r="F86" s="153" t="s">
        <v>149</v>
      </c>
      <c r="H86" s="330"/>
      <c r="I86" s="135"/>
      <c r="J86" s="147" t="s">
        <v>128</v>
      </c>
      <c r="K86" s="106" t="s">
        <v>127</v>
      </c>
      <c r="L86" s="106" t="s">
        <v>107</v>
      </c>
      <c r="M86" s="119" t="s">
        <v>108</v>
      </c>
      <c r="N86" s="122" t="s">
        <v>109</v>
      </c>
      <c r="O86" s="120"/>
      <c r="P86" s="120" t="s">
        <v>110</v>
      </c>
      <c r="R86" s="148"/>
      <c r="S86" s="134"/>
      <c r="T86" s="134"/>
      <c r="U86" s="134" t="s">
        <v>83</v>
      </c>
      <c r="V86" s="134" t="s">
        <v>68</v>
      </c>
      <c r="W86" s="134" t="s">
        <v>69</v>
      </c>
      <c r="X86" s="134" t="s">
        <v>23</v>
      </c>
      <c r="Y86" s="134"/>
      <c r="AA86" s="122"/>
      <c r="AB86" s="123"/>
      <c r="AC86" s="123"/>
      <c r="AD86" s="123" t="s">
        <v>102</v>
      </c>
      <c r="AE86" s="123">
        <f>SUM(AE76:AE84)</f>
        <v>4.1500000000000004</v>
      </c>
      <c r="AF86" s="123" t="s">
        <v>82</v>
      </c>
      <c r="AG86" s="123"/>
      <c r="AH86" s="123"/>
      <c r="AI86" s="145"/>
      <c r="AK86" s="129"/>
      <c r="AL86" s="130"/>
      <c r="AM86" s="127"/>
      <c r="AN86" s="127"/>
      <c r="AO86" s="128" t="s">
        <v>98</v>
      </c>
      <c r="AP86" s="127">
        <f>SUM(AP76:AP84)</f>
        <v>5.7</v>
      </c>
      <c r="AQ86" s="127" t="s">
        <v>82</v>
      </c>
      <c r="AR86" s="127"/>
      <c r="AS86" s="127"/>
      <c r="AT86" s="1"/>
    </row>
    <row r="87" spans="4:46" ht="15" x14ac:dyDescent="0.25">
      <c r="H87" s="330"/>
      <c r="I87" s="135"/>
      <c r="J87" s="137"/>
      <c r="K87" s="106"/>
      <c r="L87" s="106"/>
      <c r="M87" s="119" t="s">
        <v>130</v>
      </c>
      <c r="N87" s="122" t="s">
        <v>111</v>
      </c>
      <c r="O87" s="120"/>
      <c r="P87" s="120"/>
      <c r="R87" s="148"/>
      <c r="S87" s="148"/>
      <c r="T87" s="148"/>
      <c r="U87" s="98" t="s">
        <v>84</v>
      </c>
      <c r="V87" s="134">
        <v>1.5</v>
      </c>
      <c r="W87" s="134">
        <v>0.2</v>
      </c>
      <c r="X87" s="134" t="s">
        <v>85</v>
      </c>
      <c r="Y87" s="149"/>
      <c r="Z87" s="115"/>
      <c r="AA87" s="122"/>
      <c r="AB87" s="125"/>
      <c r="AC87" s="119"/>
      <c r="AD87" s="119"/>
      <c r="AE87" s="119"/>
      <c r="AF87" s="125"/>
      <c r="AG87" s="119"/>
      <c r="AH87" s="119"/>
      <c r="AI87" s="122"/>
      <c r="AK87" s="129"/>
      <c r="AL87" s="130"/>
      <c r="AM87" s="127"/>
      <c r="AN87" s="127"/>
      <c r="AO87" s="127"/>
      <c r="AP87" s="127"/>
      <c r="AQ87" s="127"/>
      <c r="AR87" s="127"/>
      <c r="AS87" s="127"/>
      <c r="AT87" s="1"/>
    </row>
    <row r="88" spans="4:46" ht="15" x14ac:dyDescent="0.25">
      <c r="H88" s="330"/>
      <c r="I88" s="106"/>
      <c r="J88" s="124" t="s">
        <v>129</v>
      </c>
      <c r="K88" s="119">
        <v>75</v>
      </c>
      <c r="L88" s="119">
        <v>1000</v>
      </c>
      <c r="M88" s="119">
        <f>K88*L88/1000</f>
        <v>75</v>
      </c>
      <c r="N88" s="122">
        <v>48</v>
      </c>
      <c r="O88" s="120"/>
      <c r="P88" s="120">
        <f>N88/M88</f>
        <v>0.64</v>
      </c>
      <c r="R88" s="148"/>
      <c r="S88" s="148"/>
      <c r="T88" s="148"/>
      <c r="U88" s="98" t="s">
        <v>86</v>
      </c>
      <c r="V88" s="134">
        <v>0.2</v>
      </c>
      <c r="W88" s="134">
        <v>0.1</v>
      </c>
      <c r="X88" s="134" t="s">
        <v>85</v>
      </c>
      <c r="Y88" s="149"/>
      <c r="Z88" s="115"/>
      <c r="AA88" s="122"/>
      <c r="AB88" s="125"/>
      <c r="AC88" s="123"/>
      <c r="AD88" s="123"/>
      <c r="AE88" s="124" t="s">
        <v>83</v>
      </c>
      <c r="AF88" s="123" t="s">
        <v>68</v>
      </c>
      <c r="AG88" s="123" t="s">
        <v>69</v>
      </c>
      <c r="AH88" s="123"/>
      <c r="AI88" s="122"/>
      <c r="AK88" s="129"/>
      <c r="AL88" s="130"/>
      <c r="AM88" s="127"/>
      <c r="AN88" s="127"/>
      <c r="AO88" s="128" t="s">
        <v>83</v>
      </c>
      <c r="AP88" s="127" t="s">
        <v>68</v>
      </c>
      <c r="AQ88" s="127" t="s">
        <v>69</v>
      </c>
      <c r="AR88" s="127"/>
      <c r="AS88" s="127"/>
      <c r="AT88" s="1"/>
    </row>
    <row r="89" spans="4:46" ht="15" x14ac:dyDescent="0.25">
      <c r="H89" s="330"/>
      <c r="I89" s="135"/>
      <c r="J89" s="137"/>
      <c r="K89" s="119">
        <v>150</v>
      </c>
      <c r="L89" s="119">
        <v>500</v>
      </c>
      <c r="M89" s="119">
        <f>K89*L89/1000</f>
        <v>75</v>
      </c>
      <c r="N89" s="122">
        <v>48</v>
      </c>
      <c r="O89" s="120"/>
      <c r="P89" s="120">
        <f>N89/M89</f>
        <v>0.64</v>
      </c>
      <c r="T89" s="116"/>
      <c r="U89" s="117"/>
      <c r="V89" s="117"/>
      <c r="W89" s="117"/>
      <c r="X89" s="117"/>
      <c r="Y89" s="117"/>
      <c r="Z89" s="115"/>
      <c r="AA89" s="122"/>
      <c r="AB89" s="125"/>
      <c r="AC89" s="123"/>
      <c r="AD89" s="123"/>
      <c r="AE89" s="124" t="s">
        <v>84</v>
      </c>
      <c r="AF89" s="123">
        <v>1.5</v>
      </c>
      <c r="AG89" s="123">
        <v>0.2</v>
      </c>
      <c r="AH89" s="123" t="s">
        <v>85</v>
      </c>
      <c r="AI89" s="122"/>
      <c r="AK89" s="129"/>
      <c r="AL89" s="130"/>
      <c r="AM89" s="127"/>
      <c r="AN89" s="127"/>
      <c r="AO89" s="128" t="s">
        <v>84</v>
      </c>
      <c r="AP89" s="127">
        <v>1.5</v>
      </c>
      <c r="AQ89" s="127">
        <v>0.2</v>
      </c>
      <c r="AR89" s="127" t="s">
        <v>85</v>
      </c>
      <c r="AS89" s="127"/>
      <c r="AT89" s="1"/>
    </row>
    <row r="90" spans="4:46" ht="15" x14ac:dyDescent="0.25">
      <c r="H90" s="330"/>
      <c r="I90" s="135"/>
      <c r="J90" s="137" t="s">
        <v>132</v>
      </c>
      <c r="K90" s="106"/>
      <c r="L90" s="106"/>
      <c r="M90" s="106"/>
      <c r="N90" s="135"/>
      <c r="O90" s="120"/>
      <c r="P90" s="120"/>
      <c r="Z90" s="115"/>
      <c r="AA90" s="122"/>
      <c r="AB90" s="125"/>
      <c r="AC90" s="123"/>
      <c r="AD90" s="123"/>
      <c r="AE90" s="124" t="s">
        <v>86</v>
      </c>
      <c r="AF90" s="123">
        <v>0.5</v>
      </c>
      <c r="AG90" s="123">
        <v>0.2</v>
      </c>
      <c r="AH90" s="123" t="s">
        <v>85</v>
      </c>
      <c r="AI90" s="122"/>
      <c r="AK90" s="129"/>
      <c r="AL90" s="130"/>
      <c r="AM90" s="127"/>
      <c r="AN90" s="127"/>
      <c r="AO90" s="128" t="s">
        <v>86</v>
      </c>
      <c r="AP90" s="127">
        <v>0.5</v>
      </c>
      <c r="AQ90" s="127">
        <v>0.2</v>
      </c>
      <c r="AR90" s="127" t="s">
        <v>85</v>
      </c>
      <c r="AS90" s="127"/>
      <c r="AT90" s="1"/>
    </row>
    <row r="91" spans="4:46" x14ac:dyDescent="0.2">
      <c r="H91" s="332"/>
      <c r="I91" s="139" t="s">
        <v>136</v>
      </c>
      <c r="J91" s="118"/>
      <c r="K91" s="119"/>
      <c r="L91" s="119"/>
      <c r="M91" s="119"/>
      <c r="N91" s="120"/>
      <c r="O91" s="120"/>
      <c r="P91" s="120"/>
      <c r="Z91" s="115"/>
      <c r="AA91" s="122"/>
      <c r="AB91" s="125"/>
      <c r="AC91" s="123"/>
      <c r="AD91" s="123"/>
      <c r="AE91" s="124" t="s">
        <v>99</v>
      </c>
      <c r="AF91" s="123">
        <v>0.2</v>
      </c>
      <c r="AG91" s="123">
        <v>0.2</v>
      </c>
      <c r="AH91" s="123" t="s">
        <v>85</v>
      </c>
      <c r="AI91" s="122"/>
      <c r="AK91" s="129"/>
      <c r="AL91" s="130"/>
      <c r="AM91" s="127"/>
      <c r="AN91" s="127"/>
      <c r="AO91" s="128" t="s">
        <v>99</v>
      </c>
      <c r="AP91" s="127">
        <v>1</v>
      </c>
      <c r="AQ91" s="127">
        <v>0.2</v>
      </c>
      <c r="AR91" s="127" t="s">
        <v>85</v>
      </c>
      <c r="AS91" s="127"/>
      <c r="AT91" s="1"/>
    </row>
    <row r="92" spans="4:46" ht="15" x14ac:dyDescent="0.25">
      <c r="H92" s="330"/>
      <c r="I92" s="135"/>
      <c r="J92" s="137"/>
      <c r="K92" s="106"/>
      <c r="L92" s="106"/>
      <c r="M92" s="106"/>
      <c r="N92" s="135"/>
      <c r="O92" s="135"/>
      <c r="P92" s="135"/>
      <c r="AL92" s="4"/>
      <c r="AM92" s="1"/>
      <c r="AN92" s="17"/>
      <c r="AQ92" s="4"/>
    </row>
    <row r="93" spans="4:46" ht="15" x14ac:dyDescent="0.25">
      <c r="H93" s="330"/>
      <c r="I93" s="135"/>
      <c r="J93" s="137"/>
      <c r="K93" s="142" t="s">
        <v>134</v>
      </c>
      <c r="L93" s="106">
        <v>5</v>
      </c>
      <c r="M93" s="106" t="s">
        <v>131</v>
      </c>
      <c r="N93" s="135"/>
      <c r="O93" s="135"/>
      <c r="P93" s="135"/>
      <c r="T93" s="116"/>
    </row>
    <row r="94" spans="4:46" ht="15" x14ac:dyDescent="0.25">
      <c r="H94" s="330"/>
      <c r="I94" s="135"/>
      <c r="J94" s="137"/>
      <c r="K94" s="135" t="s">
        <v>133</v>
      </c>
      <c r="L94" s="106"/>
      <c r="M94" s="106"/>
      <c r="N94" s="135"/>
      <c r="O94" s="135"/>
      <c r="P94" s="135"/>
    </row>
  </sheetData>
  <mergeCells count="5">
    <mergeCell ref="AX16:AY16"/>
    <mergeCell ref="A1:BF1"/>
    <mergeCell ref="BA16:BF16"/>
    <mergeCell ref="AS16:AU16"/>
    <mergeCell ref="C16:H16"/>
  </mergeCells>
  <phoneticPr fontId="0" type="noConversion"/>
  <printOptions gridLines="1" gridLinesSet="0"/>
  <pageMargins left="0.42" right="0.21" top="1" bottom="1" header="0.5" footer="0.5"/>
  <pageSetup paperSize="17" scale="35" orientation="landscape" r:id="rId1"/>
  <headerFooter alignWithMargins="0">
    <oddHeader>&amp;A</oddHeader>
    <oddFooter>Page &amp;P</oddFooter>
  </headerFooter>
  <ignoredErrors>
    <ignoredError sqref="AS27:AU27 AX27:AY27 AJ5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5"/>
  <sheetViews>
    <sheetView workbookViewId="0">
      <selection activeCell="F24" sqref="F24"/>
    </sheetView>
  </sheetViews>
  <sheetFormatPr defaultRowHeight="12.75" x14ac:dyDescent="0.2"/>
  <cols>
    <col min="2" max="2" width="24" bestFit="1" customWidth="1"/>
    <col min="3" max="3" width="10.7109375" customWidth="1"/>
    <col min="4" max="4" width="15.5703125" bestFit="1" customWidth="1"/>
    <col min="5" max="5" width="9.140625" style="191"/>
    <col min="6" max="6" width="9.140625" style="251"/>
  </cols>
  <sheetData>
    <row r="4" spans="2:6" s="245" customFormat="1" ht="24.95" customHeight="1" x14ac:dyDescent="0.35">
      <c r="B4" s="343" t="s">
        <v>182</v>
      </c>
      <c r="C4" s="343"/>
      <c r="D4" s="343"/>
      <c r="E4" s="343"/>
      <c r="F4" s="252"/>
    </row>
    <row r="5" spans="2:6" s="245" customFormat="1" ht="9.9499999999999993" customHeight="1" x14ac:dyDescent="0.35">
      <c r="B5" s="246"/>
      <c r="C5" s="246"/>
      <c r="D5" s="246"/>
      <c r="E5" s="246"/>
      <c r="F5" s="252"/>
    </row>
    <row r="6" spans="2:6" x14ac:dyDescent="0.2">
      <c r="C6" s="247" t="s">
        <v>183</v>
      </c>
      <c r="D6" s="247" t="s">
        <v>184</v>
      </c>
      <c r="E6" s="247" t="s">
        <v>185</v>
      </c>
    </row>
    <row r="7" spans="2:6" x14ac:dyDescent="0.2">
      <c r="B7" t="s">
        <v>186</v>
      </c>
      <c r="C7" s="248">
        <f>E7/28*8</f>
        <v>266.28571428571433</v>
      </c>
      <c r="D7" s="249">
        <f>E7/28*20</f>
        <v>665.71428571428578</v>
      </c>
      <c r="E7" s="257">
        <f>'Power Supplies'!AK64</f>
        <v>932.00000000000011</v>
      </c>
    </row>
    <row r="8" spans="2:6" x14ac:dyDescent="0.2">
      <c r="B8" t="s">
        <v>187</v>
      </c>
      <c r="C8" s="248">
        <v>0</v>
      </c>
      <c r="D8" s="249">
        <f>E8</f>
        <v>4820</v>
      </c>
      <c r="E8" s="257">
        <f>'Power Supplies'!AJ64</f>
        <v>4820</v>
      </c>
    </row>
    <row r="11" spans="2:6" ht="21" x14ac:dyDescent="0.35">
      <c r="B11" s="343" t="s">
        <v>188</v>
      </c>
      <c r="C11" s="343"/>
      <c r="D11" s="343"/>
      <c r="E11" s="343"/>
    </row>
    <row r="12" spans="2:6" ht="21" x14ac:dyDescent="0.35">
      <c r="B12" s="246"/>
      <c r="C12" s="246"/>
      <c r="D12" s="246"/>
      <c r="E12" s="246"/>
    </row>
    <row r="13" spans="2:6" x14ac:dyDescent="0.2">
      <c r="C13" s="247" t="s">
        <v>183</v>
      </c>
      <c r="D13" s="247" t="s">
        <v>184</v>
      </c>
      <c r="E13" s="247" t="s">
        <v>185</v>
      </c>
    </row>
    <row r="14" spans="2:6" x14ac:dyDescent="0.2">
      <c r="B14" t="s">
        <v>186</v>
      </c>
      <c r="C14" s="248">
        <f>0</f>
        <v>0</v>
      </c>
      <c r="D14" s="249">
        <f>E14</f>
        <v>280</v>
      </c>
      <c r="E14" s="257">
        <f>'Power Supplies'!AO69</f>
        <v>280</v>
      </c>
    </row>
    <row r="15" spans="2:6" x14ac:dyDescent="0.2">
      <c r="B15" t="s">
        <v>187</v>
      </c>
      <c r="C15" s="248">
        <f>0</f>
        <v>0</v>
      </c>
      <c r="D15" s="249">
        <f>E15</f>
        <v>280</v>
      </c>
      <c r="E15" s="257">
        <f>'Power Supplies'!AN69</f>
        <v>280</v>
      </c>
    </row>
    <row r="18" spans="2:6" ht="21" x14ac:dyDescent="0.35">
      <c r="B18" s="343" t="s">
        <v>189</v>
      </c>
      <c r="C18" s="343"/>
      <c r="D18" s="343"/>
      <c r="E18" s="343"/>
    </row>
    <row r="19" spans="2:6" ht="21" x14ac:dyDescent="0.35">
      <c r="B19" s="246"/>
      <c r="C19" s="246"/>
      <c r="D19" s="246"/>
      <c r="E19" s="246"/>
    </row>
    <row r="20" spans="2:6" x14ac:dyDescent="0.2">
      <c r="B20" t="s">
        <v>190</v>
      </c>
      <c r="C20" s="253">
        <f>'Power Supplies'!P59</f>
        <v>128.69760000000002</v>
      </c>
      <c r="D20" s="250"/>
      <c r="E20" s="53"/>
    </row>
    <row r="21" spans="2:6" x14ac:dyDescent="0.2">
      <c r="B21" t="s">
        <v>191</v>
      </c>
      <c r="C21" s="253">
        <f>'Power Supplies'!Q59</f>
        <v>82.671199999999999</v>
      </c>
      <c r="D21" s="250"/>
      <c r="E21" s="53"/>
    </row>
    <row r="22" spans="2:6" x14ac:dyDescent="0.2">
      <c r="B22" t="s">
        <v>192</v>
      </c>
      <c r="C22" s="254">
        <f>'Power Supplies'!AI62</f>
        <v>635.59999999999991</v>
      </c>
    </row>
    <row r="23" spans="2:6" x14ac:dyDescent="0.2">
      <c r="B23" t="s">
        <v>193</v>
      </c>
      <c r="C23" s="254">
        <f>'Power Supplies'!AM67</f>
        <v>52.5</v>
      </c>
    </row>
    <row r="24" spans="2:6" x14ac:dyDescent="0.2">
      <c r="B24" t="s">
        <v>194</v>
      </c>
      <c r="C24" s="254">
        <f>'Power Supplies'!AP69*F24/1000</f>
        <v>60.486000000000011</v>
      </c>
      <c r="D24" s="255" t="s">
        <v>196</v>
      </c>
      <c r="E24" s="22" t="s">
        <v>197</v>
      </c>
      <c r="F24" s="251">
        <v>100.81</v>
      </c>
    </row>
    <row r="25" spans="2:6" x14ac:dyDescent="0.2">
      <c r="B25" t="s">
        <v>185</v>
      </c>
      <c r="C25" s="256">
        <f>SUM(C20:C24)</f>
        <v>959.95479999999986</v>
      </c>
    </row>
  </sheetData>
  <sortState ref="A1:C47">
    <sortCondition descending="1" ref="A1:A47"/>
  </sortState>
  <mergeCells count="3">
    <mergeCell ref="B4:E4"/>
    <mergeCell ref="B11:E11"/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 Supplies</vt:lpstr>
      <vt:lpstr>Costing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ACCELERATOR DIVISION</dc:creator>
  <cp:lastModifiedBy>Dean A. Still x4951 08969N</cp:lastModifiedBy>
  <cp:lastPrinted>2015-08-28T19:56:24Z</cp:lastPrinted>
  <dcterms:created xsi:type="dcterms:W3CDTF">2011-04-26T19:45:50Z</dcterms:created>
  <dcterms:modified xsi:type="dcterms:W3CDTF">2015-10-05T13:56:38Z</dcterms:modified>
</cp:coreProperties>
</file>