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ate1904="1" codeName="ThisWorkbook"/>
  <bookViews>
    <workbookView xWindow="11190" yWindow="-315" windowWidth="13305" windowHeight="12540"/>
  </bookViews>
  <sheets>
    <sheet name="Section C-6 penetrations" sheetId="2" r:id="rId1"/>
  </sheets>
  <definedNames>
    <definedName name="_d" localSheetId="0">'Section C-6 penetrations'!$B$12</definedName>
    <definedName name="_d">#REF!</definedName>
    <definedName name="_Ho" localSheetId="0">'Section C-6 penetrations'!$B$15</definedName>
    <definedName name="_Ho">#REF!</definedName>
    <definedName name="_J" localSheetId="0">'Section C-6 penetrations'!$B$80</definedName>
    <definedName name="_J">#REF!</definedName>
    <definedName name="_K" localSheetId="0">'Section C-6 penetrations'!$B$79</definedName>
    <definedName name="_K">#REF!</definedName>
    <definedName name="_L1" localSheetId="0">'Section C-6 penetrations'!$B$34</definedName>
    <definedName name="_L1">#REF!</definedName>
    <definedName name="_L2" localSheetId="0">'Section C-6 penetrations'!$B$35</definedName>
    <definedName name="_L2">#REF!</definedName>
    <definedName name="_L3" localSheetId="0">'Section C-6 penetrations'!$B$36</definedName>
    <definedName name="_L3">#REF!</definedName>
    <definedName name="_L4" localSheetId="0">'Section C-6 penetrations'!$B$37</definedName>
    <definedName name="_L4">#REF!</definedName>
    <definedName name="_L5" localSheetId="0">'Section C-6 penetrations'!$B$38</definedName>
    <definedName name="_L5">#REF!</definedName>
    <definedName name="_L6" localSheetId="0">'Section C-6 penetrations'!$B$39</definedName>
    <definedName name="_L6">#REF!</definedName>
    <definedName name="_L7" localSheetId="0">'Section C-6 penetrations'!$B$40</definedName>
    <definedName name="_L7">#REF!</definedName>
    <definedName name="_L8" localSheetId="0">'Section C-6 penetrations'!#REF!</definedName>
    <definedName name="_L8">#REF!</definedName>
    <definedName name="_R" localSheetId="0">'Section C-6 penetrations'!$B$11</definedName>
    <definedName name="_R">#REF!</definedName>
    <definedName name="_r1" localSheetId="0">'Section C-6 penetrations'!$B$76</definedName>
    <definedName name="_r1">#REF!</definedName>
    <definedName name="_r2" localSheetId="0">'Section C-6 penetrations'!$B$77</definedName>
    <definedName name="_r2">#REF!</definedName>
    <definedName name="_r3" localSheetId="0">'Section C-6 penetrations'!$B$78</definedName>
    <definedName name="_r3">#REF!</definedName>
    <definedName name="A_F1" localSheetId="0">'Section C-6 penetrations'!$B$43</definedName>
    <definedName name="A_F1">#REF!</definedName>
    <definedName name="A_F2" localSheetId="0">'Section C-6 penetrations'!$B$44</definedName>
    <definedName name="A_F2">#REF!</definedName>
    <definedName name="A_F3" localSheetId="0">'Section C-6 penetrations'!$B$45</definedName>
    <definedName name="A_F3">#REF!</definedName>
    <definedName name="A_F4" localSheetId="0">'Section C-6 penetrations'!$B$46</definedName>
    <definedName name="A_F4">#REF!</definedName>
    <definedName name="A_F5" localSheetId="0">'Section C-6 penetrations'!$B$47</definedName>
    <definedName name="A_F5">#REF!</definedName>
    <definedName name="A_F6" localSheetId="0">'Section C-6 penetrations'!$B$48</definedName>
    <definedName name="A_F6">#REF!</definedName>
    <definedName name="A_F7" localSheetId="0">'Section C-6 penetrations'!$B$49</definedName>
    <definedName name="A_F7">#REF!</definedName>
    <definedName name="A_Fs1" localSheetId="0">'Section C-6 penetrations'!$D$43</definedName>
    <definedName name="A_Fs1">#REF!</definedName>
    <definedName name="A_Fs2" localSheetId="0">'Section C-6 penetrations'!$D$44</definedName>
    <definedName name="A_Fs2">#REF!</definedName>
    <definedName name="A_Fs3" localSheetId="0">'Section C-6 penetrations'!$D$45</definedName>
    <definedName name="A_Fs3">#REF!</definedName>
    <definedName name="A_Fs4" localSheetId="0">'Section C-6 penetrations'!$D$46</definedName>
    <definedName name="A_Fs4">#REF!</definedName>
    <definedName name="A_Fs5" localSheetId="0">'Section C-6 penetrations'!$D$47</definedName>
    <definedName name="A_Fs5">#REF!</definedName>
    <definedName name="A_Fs6" localSheetId="0">'Section C-6 penetrations'!$D$48</definedName>
    <definedName name="A_Fs6">#REF!</definedName>
    <definedName name="A_Fs7" localSheetId="0">'Section C-6 penetrations'!$D$49</definedName>
    <definedName name="A_Fs7">#REF!</definedName>
    <definedName name="AT_1" localSheetId="0">'Section C-6 penetrations'!$B$52</definedName>
    <definedName name="AT_1">#REF!</definedName>
    <definedName name="AT_2" localSheetId="0">'Section C-6 penetrations'!$B$53</definedName>
    <definedName name="AT_2">#REF!</definedName>
    <definedName name="AT_3" localSheetId="0">'Section C-6 penetrations'!$B$54</definedName>
    <definedName name="AT_3">#REF!</definedName>
    <definedName name="AT_4" localSheetId="0">'Section C-6 penetrations'!$B$55</definedName>
    <definedName name="AT_4">#REF!</definedName>
    <definedName name="AT_5" localSheetId="0">'Section C-6 penetrations'!$B$56</definedName>
    <definedName name="AT_5">#REF!</definedName>
    <definedName name="AT_6" localSheetId="0">'Section C-6 penetrations'!$B$57</definedName>
    <definedName name="AT_6">#REF!</definedName>
    <definedName name="AT_7" localSheetId="0">'Section C-6 penetrations'!$B$58</definedName>
    <definedName name="AT_7">#REF!</definedName>
    <definedName name="co_L1" localSheetId="0">'Section C-6 penetrations'!$H$18</definedName>
    <definedName name="co_L1">#REF!</definedName>
    <definedName name="co_L2" localSheetId="0">'Section C-6 penetrations'!$H$19</definedName>
    <definedName name="co_L2">#REF!</definedName>
    <definedName name="co_L3" localSheetId="0">'Section C-6 penetrations'!$H$20</definedName>
    <definedName name="co_L3">#REF!</definedName>
    <definedName name="co_L4" localSheetId="0">'Section C-6 penetrations'!$H$21</definedName>
    <definedName name="co_L4">#REF!</definedName>
    <definedName name="co_L5" localSheetId="0">'Section C-6 penetrations'!$H$22</definedName>
    <definedName name="co_L5">#REF!</definedName>
    <definedName name="co_L6" localSheetId="0">'Section C-6 penetrations'!$H$23</definedName>
    <definedName name="co_L6">#REF!</definedName>
    <definedName name="co_L7" localSheetId="0">'Section C-6 penetrations'!$H$24</definedName>
    <definedName name="co_L7">#REF!</definedName>
    <definedName name="Ep" localSheetId="0">'Section C-6 penetrations'!$B$8</definedName>
    <definedName name="Ep">#REF!</definedName>
    <definedName name="fp" localSheetId="0">'Section C-6 penetrations'!$B$10</definedName>
    <definedName name="fp">#REF!</definedName>
    <definedName name="Leg_1_area" localSheetId="0">'Section C-6 penetrations'!$B$18</definedName>
    <definedName name="Leg_1_area">#REF!</definedName>
    <definedName name="Leg_1_length" localSheetId="0">'Section C-6 penetrations'!$B$26</definedName>
    <definedName name="Leg_1_length">#REF!</definedName>
    <definedName name="Leg_2_area" localSheetId="0">'Section C-6 penetrations'!$B$19</definedName>
    <definedName name="Leg_2_area">#REF!</definedName>
    <definedName name="Leg_2_length" localSheetId="0">'Section C-6 penetrations'!$B$27</definedName>
    <definedName name="Leg_2_length">#REF!</definedName>
    <definedName name="Leg_3_area" localSheetId="0">'Section C-6 penetrations'!$B$20</definedName>
    <definedName name="Leg_3_area">#REF!</definedName>
    <definedName name="Leg_3_length" localSheetId="0">'Section C-6 penetrations'!$B$28</definedName>
    <definedName name="Leg_3_length">#REF!</definedName>
    <definedName name="Leg_4_area" localSheetId="0">'Section C-6 penetrations'!$B$21</definedName>
    <definedName name="Leg_4_area">#REF!</definedName>
    <definedName name="Leg_4_length" localSheetId="0">'Section C-6 penetrations'!$B$29</definedName>
    <definedName name="Leg_4_length">#REF!</definedName>
    <definedName name="Leg_5_area" localSheetId="0">'Section C-6 penetrations'!$B$22</definedName>
    <definedName name="Leg_5_area">#REF!</definedName>
    <definedName name="Leg_5_length" localSheetId="0">'Section C-6 penetrations'!$B$30</definedName>
    <definedName name="Leg_5_length">#REF!</definedName>
    <definedName name="Leg_6_area" localSheetId="0">'Section C-6 penetrations'!$B$23</definedName>
    <definedName name="Leg_6_area">#REF!</definedName>
    <definedName name="Leg_6_length" localSheetId="0">'Section C-6 penetrations'!$B$31</definedName>
    <definedName name="Leg_6_length">#REF!</definedName>
    <definedName name="Leg_7_area" localSheetId="0">'Section C-6 penetrations'!$B$24</definedName>
    <definedName name="Leg_7_area">#REF!</definedName>
    <definedName name="Leg_7_length" localSheetId="0">'Section C-6 penetrations'!$B$32</definedName>
    <definedName name="Leg_7_length">#REF!</definedName>
    <definedName name="Leg_8_area" localSheetId="0">'Section C-6 penetrations'!#REF!</definedName>
    <definedName name="Leg_8_area">#REF!</definedName>
    <definedName name="Leg_8_length" localSheetId="0">'Section C-6 penetrations'!#REF!</definedName>
    <definedName name="Leg_8_length">#REF!</definedName>
    <definedName name="Np" localSheetId="0">'Section C-6 penetrations'!$B$9</definedName>
    <definedName name="Np">#REF!</definedName>
    <definedName name="Number_of_Legs" localSheetId="0">'Section C-6 penetrations'!$B$16</definedName>
    <definedName name="Number_of_Legs">#REF!</definedName>
    <definedName name="ro" localSheetId="0">'Section C-6 penetrations'!$B$75</definedName>
    <definedName name="ro">#REF!</definedName>
    <definedName name="Sullivan_Corr." localSheetId="0">'Section C-6 penetrations'!$F$15</definedName>
    <definedName name="Sullivan_Corr.">#REF!</definedName>
    <definedName name="Th_1" localSheetId="0">'Section C-6 penetrations'!$F$18</definedName>
    <definedName name="Th_1">#REF!</definedName>
    <definedName name="Th_2" localSheetId="0">'Section C-6 penetrations'!$F$19</definedName>
    <definedName name="Th_2">#REF!</definedName>
    <definedName name="Th_3" localSheetId="0">'Section C-6 penetrations'!$F$20</definedName>
    <definedName name="Th_3">#REF!</definedName>
    <definedName name="Th_4" localSheetId="0">'Section C-6 penetrations'!$F$21</definedName>
    <definedName name="Th_4">#REF!</definedName>
    <definedName name="Th_5" localSheetId="0">'Section C-6 penetrations'!$F$22</definedName>
    <definedName name="Th_5">#REF!</definedName>
    <definedName name="Th_6" localSheetId="0">'Section C-6 penetrations'!$F$23</definedName>
    <definedName name="Th_6">#REF!</definedName>
    <definedName name="Th_7" localSheetId="0">'Section C-6 penetrations'!$F$24</definedName>
    <definedName name="Th_7">#REF!</definedName>
    <definedName name="Th_s" localSheetId="0">'Section C-6 penetrations'!$B$13</definedName>
    <definedName name="Th_s">#REF!</definedName>
  </definedNames>
  <calcPr calcId="145621"/>
</workbook>
</file>

<file path=xl/calcChain.xml><?xml version="1.0" encoding="utf-8"?>
<calcChain xmlns="http://schemas.openxmlformats.org/spreadsheetml/2006/main">
  <c r="F26" i="2" l="1"/>
  <c r="D70" i="2"/>
  <c r="B70" i="2"/>
  <c r="A70" i="2"/>
  <c r="D69" i="2"/>
  <c r="B69" i="2"/>
  <c r="A69" i="2"/>
  <c r="D68" i="2"/>
  <c r="B68" i="2"/>
  <c r="A68" i="2"/>
  <c r="D67" i="2"/>
  <c r="B67" i="2"/>
  <c r="A67" i="2"/>
  <c r="A66" i="2"/>
  <c r="A65" i="2"/>
  <c r="A64" i="2"/>
  <c r="B58" i="2"/>
  <c r="A58" i="2"/>
  <c r="B57" i="2"/>
  <c r="A57" i="2"/>
  <c r="B56" i="2"/>
  <c r="A56" i="2"/>
  <c r="B55" i="2"/>
  <c r="A55" i="2"/>
  <c r="A54" i="2"/>
  <c r="A53" i="2"/>
  <c r="A52" i="2"/>
  <c r="B49" i="2"/>
  <c r="A49" i="2"/>
  <c r="B48" i="2"/>
  <c r="A48" i="2"/>
  <c r="B47" i="2"/>
  <c r="A47" i="2"/>
  <c r="B46" i="2"/>
  <c r="A46" i="2"/>
  <c r="A45" i="2"/>
  <c r="A44" i="2"/>
  <c r="A43" i="2"/>
  <c r="B40" i="2"/>
  <c r="A40" i="2"/>
  <c r="B39" i="2"/>
  <c r="A39" i="2"/>
  <c r="B38" i="2"/>
  <c r="A38" i="2"/>
  <c r="B37" i="2"/>
  <c r="A37" i="2"/>
  <c r="B36" i="2"/>
  <c r="A36" i="2"/>
  <c r="B35" i="2"/>
  <c r="A35" i="2"/>
  <c r="B34" i="2"/>
  <c r="B43" i="2" s="1"/>
  <c r="B52" i="2" s="1"/>
  <c r="A34" i="2"/>
  <c r="C32" i="2"/>
  <c r="A32" i="2"/>
  <c r="C31" i="2"/>
  <c r="A31" i="2"/>
  <c r="C30" i="2"/>
  <c r="A30" i="2"/>
  <c r="C29" i="2"/>
  <c r="A29" i="2"/>
  <c r="C28" i="2"/>
  <c r="A28" i="2"/>
  <c r="C27" i="2"/>
  <c r="A27" i="2"/>
  <c r="C26" i="2"/>
  <c r="A26" i="2"/>
  <c r="H24" i="2"/>
  <c r="G24" i="2"/>
  <c r="E24" i="2"/>
  <c r="C24" i="2"/>
  <c r="A24" i="2"/>
  <c r="H23" i="2"/>
  <c r="G23" i="2"/>
  <c r="E23" i="2"/>
  <c r="C23" i="2"/>
  <c r="A23" i="2"/>
  <c r="H22" i="2"/>
  <c r="G22" i="2"/>
  <c r="E22" i="2"/>
  <c r="C22" i="2"/>
  <c r="A22" i="2"/>
  <c r="H21" i="2"/>
  <c r="G21" i="2"/>
  <c r="E21" i="2"/>
  <c r="C21" i="2"/>
  <c r="A21" i="2"/>
  <c r="H20" i="2"/>
  <c r="G20" i="2"/>
  <c r="E20" i="2"/>
  <c r="C20" i="2"/>
  <c r="A20" i="2"/>
  <c r="H19" i="2"/>
  <c r="G19" i="2"/>
  <c r="E19" i="2"/>
  <c r="C19" i="2"/>
  <c r="A19" i="2"/>
  <c r="G18" i="2"/>
  <c r="E18" i="2"/>
  <c r="C18" i="2"/>
  <c r="A18" i="2"/>
  <c r="C16" i="2"/>
  <c r="F15" i="2"/>
  <c r="B15" i="2" s="1"/>
  <c r="B45" i="2" l="1"/>
  <c r="B54" i="2" s="1"/>
  <c r="B44" i="2"/>
  <c r="B53" i="2" s="1"/>
  <c r="B64" i="2"/>
  <c r="D64" i="2" s="1"/>
  <c r="B59" i="2" l="1"/>
  <c r="B65" i="2"/>
  <c r="B66" i="2" s="1"/>
  <c r="D66" i="2" s="1"/>
  <c r="D65" i="2" l="1"/>
</calcChain>
</file>

<file path=xl/comments1.xml><?xml version="1.0" encoding="utf-8"?>
<comments xmlns="http://schemas.openxmlformats.org/spreadsheetml/2006/main">
  <authors>
    <author>PC User</author>
    <author>vaziri</author>
  </authors>
  <commentList>
    <comment ref="A11" authorId="0">
      <text>
        <r>
          <rPr>
            <b/>
            <sz val="8"/>
            <color indexed="81"/>
            <rFont val="Tahoma"/>
            <family val="2"/>
          </rPr>
          <t>Note:</t>
        </r>
        <r>
          <rPr>
            <sz val="8"/>
            <color indexed="81"/>
            <rFont val="Tahoma"/>
            <family val="2"/>
          </rPr>
          <t xml:space="preserve">
R is usually the radius of the tunnel</t>
        </r>
      </text>
    </comment>
    <comment ref="A12" authorId="0">
      <text>
        <r>
          <rPr>
            <b/>
            <sz val="8"/>
            <color indexed="81"/>
            <rFont val="Tahoma"/>
            <family val="2"/>
          </rPr>
          <t>PC User:</t>
        </r>
        <r>
          <rPr>
            <sz val="8"/>
            <color indexed="81"/>
            <rFont val="Tahoma"/>
            <family val="2"/>
          </rPr>
          <t xml:space="preserve">
transverse source distance from the axis of the first leg to the source location.</t>
        </r>
      </text>
    </comment>
    <comment ref="B13" authorId="1">
      <text>
        <r>
          <rPr>
            <b/>
            <sz val="8"/>
            <color indexed="81"/>
            <rFont val="Tahoma"/>
            <family val="2"/>
          </rPr>
          <t>vaziri:</t>
        </r>
        <r>
          <rPr>
            <sz val="8"/>
            <color indexed="81"/>
            <rFont val="Tahoma"/>
            <family val="2"/>
          </rPr>
          <t xml:space="preserve">
This is the so called Sullivan source distribution angle</t>
        </r>
      </text>
    </comment>
    <comment ref="B14" authorId="1">
      <text>
        <r>
          <rPr>
            <b/>
            <sz val="8"/>
            <color indexed="81"/>
            <rFont val="Tahoma"/>
            <family val="2"/>
          </rPr>
          <t>vaziri:</t>
        </r>
        <r>
          <rPr>
            <sz val="8"/>
            <color indexed="81"/>
            <rFont val="Tahoma"/>
            <family val="2"/>
          </rPr>
          <t xml:space="preserve">
This is for when you know the source term from measurements or a more rigerous calculation.</t>
        </r>
      </text>
    </comment>
    <comment ref="E17" authorId="0">
      <text>
        <r>
          <rPr>
            <b/>
            <sz val="8"/>
            <color indexed="81"/>
            <rFont val="Tahoma"/>
            <family val="2"/>
          </rPr>
          <t>PC User:</t>
        </r>
        <r>
          <rPr>
            <sz val="8"/>
            <color indexed="81"/>
            <rFont val="Tahoma"/>
            <family val="2"/>
          </rPr>
          <t xml:space="preserve">
Theta is the angle that this leg makes with the previous one, in degrees.</t>
        </r>
      </text>
    </comment>
    <comment ref="H17" authorId="1">
      <text>
        <r>
          <rPr>
            <b/>
            <sz val="8"/>
            <color indexed="81"/>
            <rFont val="Tahoma"/>
            <family val="2"/>
          </rPr>
          <t>vaziri:</t>
        </r>
        <r>
          <rPr>
            <sz val="8"/>
            <color indexed="81"/>
            <rFont val="Tahoma"/>
            <family val="2"/>
          </rPr>
          <t xml:space="preserve">
If the second leg is collinear w/first one (could have different length and cross section), the first leg type attenuation will be used. Collinearity will be used only if with the first leg and no intervening bends.</t>
        </r>
      </text>
    </comment>
    <comment ref="F18" authorId="0">
      <text>
        <r>
          <rPr>
            <b/>
            <sz val="8"/>
            <color indexed="81"/>
            <rFont val="Tahoma"/>
            <family val="2"/>
          </rPr>
          <t>θ1: Angle between the direction of the opening surface and the penetration axis.</t>
        </r>
        <r>
          <rPr>
            <sz val="8"/>
            <color indexed="81"/>
            <rFont val="Tahoma"/>
            <family val="2"/>
          </rPr>
          <t xml:space="preserve">
assume first leg's opening is facing the loss point Or shower max. Note, if the source is offaxis it is taken care of at the source calculation section.
Angle between the Pen. 
Axis and openning plane direction. This is used as a source term correction.</t>
        </r>
      </text>
    </comment>
    <comment ref="B33" authorId="0">
      <text>
        <r>
          <rPr>
            <b/>
            <sz val="8"/>
            <color indexed="81"/>
            <rFont val="Tahoma"/>
            <family val="2"/>
          </rPr>
          <t>Vaziri:</t>
        </r>
        <r>
          <rPr>
            <sz val="8"/>
            <color indexed="81"/>
            <rFont val="Tahoma"/>
            <family val="2"/>
          </rPr>
          <t xml:space="preserve">
Note if a  leg unit is  larger than 20, Simple Solid angel attenuation is used for the calculation</t>
        </r>
      </text>
    </comment>
    <comment ref="B42" authorId="0">
      <text>
        <r>
          <rPr>
            <b/>
            <sz val="8"/>
            <color indexed="81"/>
            <rFont val="Tahoma"/>
            <family val="2"/>
          </rPr>
          <t>Note:</t>
        </r>
        <r>
          <rPr>
            <sz val="8"/>
            <color indexed="81"/>
            <rFont val="Tahoma"/>
            <family val="2"/>
          </rPr>
          <t xml:space="preserve">
These are attentuation factors for standard 90 degree bend type labyrinth, before the angle factors are worked in.</t>
        </r>
      </text>
    </comment>
    <comment ref="C43" authorId="1">
      <text>
        <r>
          <rPr>
            <b/>
            <sz val="8"/>
            <color indexed="81"/>
            <rFont val="Tahoma"/>
            <family val="2"/>
          </rPr>
          <t>Note:</t>
        </r>
        <r>
          <rPr>
            <sz val="8"/>
            <color indexed="81"/>
            <rFont val="Tahoma"/>
            <family val="2"/>
          </rPr>
          <t xml:space="preserve">
If a leg unit is &gt;= 20 Solid angle is used for attenuation only.
If the second leg or subsequent one has &gt;= 20 leg units, there are two 
ways to go, if the leg and all its previous legs are collinear w/the first leg
the solid angle method is used, if not the first leg standard method 
is used for the calculation of its attenuation factor.</t>
        </r>
      </text>
    </comment>
    <comment ref="B51" authorId="1">
      <text>
        <r>
          <rPr>
            <b/>
            <sz val="8"/>
            <color indexed="81"/>
            <rFont val="Tahoma"/>
            <family val="2"/>
          </rPr>
          <t>Note:</t>
        </r>
        <r>
          <rPr>
            <sz val="8"/>
            <color indexed="81"/>
            <rFont val="Tahoma"/>
            <family val="2"/>
          </rPr>
          <t xml:space="preserve">
 Relative leg angles are included here.</t>
        </r>
      </text>
    </comment>
  </commentList>
</comments>
</file>

<file path=xl/sharedStrings.xml><?xml version="1.0" encoding="utf-8"?>
<sst xmlns="http://schemas.openxmlformats.org/spreadsheetml/2006/main" count="46" uniqueCount="43">
  <si>
    <t>Ep=</t>
  </si>
  <si>
    <t>Np=</t>
  </si>
  <si>
    <t>R=</t>
  </si>
  <si>
    <t>ft</t>
  </si>
  <si>
    <t>d=</t>
  </si>
  <si>
    <t>The Off-axis distance</t>
  </si>
  <si>
    <t>Source Term=</t>
  </si>
  <si>
    <t>D.E. After Leg</t>
  </si>
  <si>
    <t>(mrem/pulse)</t>
  </si>
  <si>
    <t>(mrem/hr)</t>
  </si>
  <si>
    <t>Parameters:</t>
  </si>
  <si>
    <t>ro=</t>
  </si>
  <si>
    <t>r1=</t>
  </si>
  <si>
    <t>r2=</t>
  </si>
  <si>
    <t>r3=</t>
  </si>
  <si>
    <t>K=</t>
  </si>
  <si>
    <t>J =</t>
  </si>
  <si>
    <t>Protons per pulse</t>
  </si>
  <si>
    <t>GeV (Kinetic Energy)</t>
  </si>
  <si>
    <t>Attenuation Factors</t>
  </si>
  <si>
    <t>Theta</t>
  </si>
  <si>
    <t>fp=</t>
  </si>
  <si>
    <t>beam pulses per hour</t>
  </si>
  <si>
    <t>Number of Legs</t>
  </si>
  <si>
    <t>Do Not Edit these</t>
  </si>
  <si>
    <t>Net Attenuation=</t>
  </si>
  <si>
    <t>degrees ( 0 - 180 degrees)</t>
  </si>
  <si>
    <r>
      <t xml:space="preserve">Q </t>
    </r>
    <r>
      <rPr>
        <b/>
        <vertAlign val="subscript"/>
        <sz val="12"/>
        <rFont val="Geneva"/>
        <family val="2"/>
      </rPr>
      <t>source</t>
    </r>
    <r>
      <rPr>
        <b/>
        <sz val="12"/>
        <rFont val="Geneva"/>
        <family val="2"/>
      </rPr>
      <t xml:space="preserve"> =</t>
    </r>
  </si>
  <si>
    <t>Imperical Source=</t>
  </si>
  <si>
    <t>Collinearity</t>
  </si>
  <si>
    <t>Sullivan Corr.=</t>
  </si>
  <si>
    <t>mrem/pulse</t>
  </si>
  <si>
    <t>Attenuation</t>
  </si>
  <si>
    <t xml:space="preserve">Description: </t>
  </si>
  <si>
    <t xml:space="preserve">Originated:  </t>
  </si>
  <si>
    <t xml:space="preserve">Checked:   </t>
  </si>
  <si>
    <t xml:space="preserve">Approved:  </t>
  </si>
  <si>
    <t xml:space="preserve">Reviewed:  </t>
  </si>
  <si>
    <t>Title:</t>
  </si>
  <si>
    <t>Protons per hour</t>
  </si>
  <si>
    <t>M4  6" Diameter 3 Leg Project DWG Set 6-10-2, Sheet S-6, 02 NOV 2012</t>
  </si>
  <si>
    <t>Leveling</t>
  </si>
  <si>
    <t>Penetrations from M4 beam line to Power Supply Room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</si>
</sst>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5">
    <font>
      <sz val="10"/>
      <name val="Geneva"/>
    </font>
    <font>
      <b/>
      <sz val="10"/>
      <name val="Geneva"/>
    </font>
    <font>
      <sz val="10"/>
      <name val="Geneva"/>
      <family val="2"/>
    </font>
    <font>
      <b/>
      <sz val="9"/>
      <name val="Geneva"/>
      <family val="2"/>
    </font>
    <font>
      <sz val="9"/>
      <name val="Geneva"/>
      <family val="2"/>
    </font>
    <font>
      <b/>
      <sz val="9"/>
      <color indexed="10"/>
      <name val="Geneva"/>
      <family val="2"/>
    </font>
    <font>
      <sz val="10"/>
      <color indexed="10"/>
      <name val="Geneva"/>
      <family val="2"/>
    </font>
    <font>
      <sz val="8"/>
      <color indexed="81"/>
      <name val="Tahoma"/>
      <family val="2"/>
    </font>
    <font>
      <b/>
      <sz val="8"/>
      <color indexed="81"/>
      <name val="Tahoma"/>
      <family val="2"/>
    </font>
    <font>
      <b/>
      <sz val="10"/>
      <color indexed="57"/>
      <name val="Geneva"/>
      <family val="2"/>
    </font>
    <font>
      <b/>
      <sz val="9"/>
      <color indexed="12"/>
      <name val="Geneva"/>
      <family val="2"/>
    </font>
    <font>
      <sz val="9"/>
      <color indexed="12"/>
      <name val="Geneva"/>
      <family val="2"/>
    </font>
    <font>
      <sz val="9"/>
      <color indexed="57"/>
      <name val="Geneva"/>
      <family val="2"/>
    </font>
    <font>
      <b/>
      <sz val="12"/>
      <name val="Symbol"/>
      <family val="1"/>
      <charset val="2"/>
    </font>
    <font>
      <b/>
      <vertAlign val="subscript"/>
      <sz val="12"/>
      <name val="Geneva"/>
      <family val="2"/>
    </font>
    <font>
      <b/>
      <sz val="12"/>
      <name val="Geneva"/>
      <family val="2"/>
    </font>
    <font>
      <b/>
      <sz val="12"/>
      <color indexed="10"/>
      <name val="Geneva"/>
      <family val="2"/>
    </font>
    <font>
      <sz val="9"/>
      <name val="Geneva"/>
      <family val="2"/>
    </font>
    <font>
      <b/>
      <sz val="10"/>
      <color indexed="12"/>
      <name val="Geneva"/>
      <family val="2"/>
    </font>
    <font>
      <sz val="9"/>
      <color indexed="10"/>
      <name val="Geneva"/>
      <family val="2"/>
    </font>
    <font>
      <sz val="10"/>
      <color indexed="12"/>
      <name val="Geneva"/>
      <family val="2"/>
    </font>
    <font>
      <sz val="9"/>
      <color indexed="9"/>
      <name val="Geneva"/>
      <family val="2"/>
    </font>
    <font>
      <b/>
      <sz val="10"/>
      <name val="Geneva"/>
      <family val="2"/>
    </font>
    <font>
      <b/>
      <sz val="9"/>
      <name val="Geneva"/>
      <family val="2"/>
    </font>
    <font>
      <sz val="9"/>
      <color rgb="FFFF0000"/>
      <name val="Geneva"/>
      <family val="2"/>
    </font>
  </fonts>
  <fills count="6">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43"/>
        <bgColor indexed="64"/>
      </patternFill>
    </fill>
    <fill>
      <patternFill patternType="solid">
        <fgColor rgb="FFFFFF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double">
        <color indexed="64"/>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82">
    <xf numFmtId="0" fontId="0" fillId="0" borderId="0" xfId="0"/>
    <xf numFmtId="0" fontId="4" fillId="0" borderId="0" xfId="0" applyFont="1"/>
    <xf numFmtId="0" fontId="3" fillId="0" borderId="1" xfId="0" applyFont="1" applyBorder="1"/>
    <xf numFmtId="0" fontId="4" fillId="0" borderId="1" xfId="0" applyFont="1" applyBorder="1"/>
    <xf numFmtId="11" fontId="4" fillId="0" borderId="1" xfId="0" applyNumberFormat="1" applyFont="1" applyBorder="1"/>
    <xf numFmtId="0" fontId="3" fillId="0" borderId="2" xfId="0" applyFont="1" applyBorder="1"/>
    <xf numFmtId="0" fontId="3" fillId="0" borderId="3" xfId="0" applyFont="1" applyBorder="1"/>
    <xf numFmtId="0" fontId="4" fillId="0" borderId="3" xfId="0" applyFont="1" applyBorder="1"/>
    <xf numFmtId="0" fontId="4" fillId="0" borderId="4" xfId="0" applyFont="1" applyBorder="1"/>
    <xf numFmtId="0" fontId="4" fillId="0" borderId="5" xfId="0" applyFont="1" applyBorder="1"/>
    <xf numFmtId="0" fontId="3" fillId="0" borderId="6" xfId="0" applyFont="1" applyBorder="1"/>
    <xf numFmtId="0" fontId="3" fillId="0" borderId="7" xfId="0" applyFont="1" applyBorder="1"/>
    <xf numFmtId="11" fontId="4" fillId="0" borderId="0" xfId="0" applyNumberFormat="1" applyFont="1"/>
    <xf numFmtId="0" fontId="5" fillId="0" borderId="6" xfId="0" applyFont="1" applyBorder="1"/>
    <xf numFmtId="0" fontId="5" fillId="0" borderId="7" xfId="0" applyFont="1" applyBorder="1"/>
    <xf numFmtId="0" fontId="4" fillId="0" borderId="8" xfId="0" applyFont="1" applyBorder="1"/>
    <xf numFmtId="0" fontId="0" fillId="0" borderId="0" xfId="0" applyAlignment="1"/>
    <xf numFmtId="11" fontId="4" fillId="0" borderId="4" xfId="0" applyNumberFormat="1" applyFont="1" applyBorder="1"/>
    <xf numFmtId="11" fontId="3" fillId="0" borderId="4" xfId="0" applyNumberFormat="1" applyFont="1" applyBorder="1"/>
    <xf numFmtId="0" fontId="3" fillId="0" borderId="0" xfId="0" applyFont="1"/>
    <xf numFmtId="0" fontId="4" fillId="0" borderId="0" xfId="0" applyFont="1" applyBorder="1" applyAlignment="1"/>
    <xf numFmtId="164" fontId="4" fillId="0" borderId="1" xfId="0" applyNumberFormat="1" applyFont="1" applyBorder="1"/>
    <xf numFmtId="11" fontId="3" fillId="0" borderId="0" xfId="0" applyNumberFormat="1" applyFont="1" applyBorder="1"/>
    <xf numFmtId="11" fontId="6" fillId="0" borderId="0" xfId="0" applyNumberFormat="1" applyFont="1" applyBorder="1"/>
    <xf numFmtId="0" fontId="3" fillId="2" borderId="1" xfId="0" applyFont="1" applyFill="1" applyBorder="1" applyProtection="1">
      <protection hidden="1"/>
    </xf>
    <xf numFmtId="0" fontId="4" fillId="2" borderId="1" xfId="0" applyFont="1" applyFill="1" applyBorder="1" applyProtection="1">
      <protection hidden="1"/>
    </xf>
    <xf numFmtId="0" fontId="4" fillId="0" borderId="9" xfId="0" applyFont="1" applyBorder="1"/>
    <xf numFmtId="0" fontId="12" fillId="0" borderId="0" xfId="0" applyFont="1" applyBorder="1"/>
    <xf numFmtId="0" fontId="13" fillId="0" borderId="3" xfId="0" applyFont="1" applyBorder="1" applyAlignment="1">
      <alignment horizontal="right"/>
    </xf>
    <xf numFmtId="0" fontId="16" fillId="0" borderId="1" xfId="0" applyFont="1" applyBorder="1"/>
    <xf numFmtId="0" fontId="0" fillId="0" borderId="0" xfId="0" applyAlignment="1">
      <alignment horizontal="right"/>
    </xf>
    <xf numFmtId="0" fontId="17" fillId="0" borderId="9" xfId="0" applyFont="1" applyBorder="1"/>
    <xf numFmtId="0" fontId="3" fillId="3" borderId="10" xfId="0" applyFont="1" applyFill="1" applyBorder="1"/>
    <xf numFmtId="11" fontId="3" fillId="3" borderId="11" xfId="0" applyNumberFormat="1" applyFont="1" applyFill="1" applyBorder="1"/>
    <xf numFmtId="0" fontId="3" fillId="3" borderId="11" xfId="0" applyFont="1" applyFill="1" applyBorder="1"/>
    <xf numFmtId="2" fontId="3" fillId="3" borderId="1" xfId="0" applyNumberFormat="1" applyFont="1" applyFill="1" applyBorder="1"/>
    <xf numFmtId="11" fontId="3" fillId="3" borderId="12" xfId="0" applyNumberFormat="1" applyFont="1" applyFill="1" applyBorder="1"/>
    <xf numFmtId="1" fontId="3" fillId="3" borderId="1" xfId="0" applyNumberFormat="1" applyFont="1" applyFill="1" applyBorder="1"/>
    <xf numFmtId="0" fontId="0" fillId="3" borderId="1" xfId="0" applyFill="1" applyBorder="1" applyAlignment="1">
      <alignment horizontal="center"/>
    </xf>
    <xf numFmtId="0" fontId="18" fillId="4" borderId="1" xfId="0" applyFont="1" applyFill="1" applyBorder="1" applyAlignment="1" applyProtection="1">
      <alignment horizontal="center"/>
      <protection locked="0"/>
    </xf>
    <xf numFmtId="0" fontId="2" fillId="0" borderId="0" xfId="0" applyFont="1"/>
    <xf numFmtId="0" fontId="19" fillId="0" borderId="0" xfId="0" applyFont="1"/>
    <xf numFmtId="0" fontId="20" fillId="0" borderId="0" xfId="0" applyFont="1"/>
    <xf numFmtId="0" fontId="11" fillId="0" borderId="0" xfId="0" applyFont="1"/>
    <xf numFmtId="11" fontId="21" fillId="0" borderId="0" xfId="0" applyNumberFormat="1" applyFont="1"/>
    <xf numFmtId="0" fontId="4" fillId="0" borderId="0" xfId="0" applyFont="1" applyBorder="1"/>
    <xf numFmtId="0" fontId="9" fillId="0" borderId="0" xfId="0" applyFont="1" applyBorder="1"/>
    <xf numFmtId="0" fontId="3" fillId="0" borderId="1" xfId="0" applyFont="1" applyBorder="1" applyAlignment="1">
      <alignment horizontal="right"/>
    </xf>
    <xf numFmtId="0" fontId="3" fillId="0" borderId="3" xfId="0" applyFont="1" applyBorder="1" applyAlignment="1">
      <alignment horizontal="right"/>
    </xf>
    <xf numFmtId="0" fontId="3" fillId="0" borderId="4" xfId="0" applyFont="1" applyBorder="1"/>
    <xf numFmtId="0" fontId="3" fillId="0" borderId="0" xfId="0" applyFont="1" applyBorder="1"/>
    <xf numFmtId="0" fontId="3" fillId="2" borderId="5" xfId="0" applyFont="1" applyFill="1" applyBorder="1" applyProtection="1">
      <protection hidden="1"/>
    </xf>
    <xf numFmtId="0" fontId="4" fillId="2" borderId="5" xfId="0" applyFont="1" applyFill="1" applyBorder="1" applyProtection="1">
      <protection hidden="1"/>
    </xf>
    <xf numFmtId="0" fontId="4" fillId="0" borderId="2" xfId="0" applyFont="1" applyBorder="1"/>
    <xf numFmtId="0" fontId="23" fillId="0" borderId="13" xfId="0" applyFont="1" applyBorder="1"/>
    <xf numFmtId="0" fontId="22" fillId="0" borderId="14" xfId="0" applyFont="1" applyBorder="1"/>
    <xf numFmtId="0" fontId="1" fillId="0" borderId="14" xfId="0" applyFont="1" applyBorder="1" applyAlignment="1">
      <alignment horizontal="left"/>
    </xf>
    <xf numFmtId="0" fontId="1" fillId="0" borderId="15" xfId="0" applyFont="1" applyBorder="1" applyAlignment="1">
      <alignment horizontal="left"/>
    </xf>
    <xf numFmtId="0" fontId="3" fillId="0" borderId="5" xfId="0" applyFont="1" applyBorder="1"/>
    <xf numFmtId="11" fontId="4" fillId="0" borderId="16" xfId="0" applyNumberFormat="1" applyFont="1" applyBorder="1"/>
    <xf numFmtId="11" fontId="11" fillId="0" borderId="17" xfId="0" applyNumberFormat="1" applyFont="1" applyBorder="1" applyAlignment="1">
      <alignment horizontal="left"/>
    </xf>
    <xf numFmtId="0" fontId="10" fillId="0" borderId="18" xfId="0" applyFont="1" applyBorder="1" applyAlignment="1">
      <alignment horizontal="center"/>
    </xf>
    <xf numFmtId="2" fontId="4" fillId="0" borderId="0" xfId="0" applyNumberFormat="1" applyFont="1" applyAlignment="1">
      <alignment horizontal="left"/>
    </xf>
    <xf numFmtId="11" fontId="3" fillId="0" borderId="7" xfId="0" applyNumberFormat="1" applyFont="1" applyBorder="1" applyAlignment="1">
      <alignment horizontal="center"/>
    </xf>
    <xf numFmtId="11" fontId="3" fillId="0" borderId="19" xfId="0" applyNumberFormat="1" applyFont="1" applyBorder="1" applyAlignment="1">
      <alignment horizontal="center"/>
    </xf>
    <xf numFmtId="11" fontId="6" fillId="0" borderId="7" xfId="0" applyNumberFormat="1" applyFont="1" applyBorder="1" applyAlignment="1">
      <alignment horizontal="center"/>
    </xf>
    <xf numFmtId="11" fontId="6" fillId="0" borderId="20" xfId="0" applyNumberFormat="1" applyFont="1" applyBorder="1" applyAlignment="1">
      <alignment horizontal="center"/>
    </xf>
    <xf numFmtId="0" fontId="0" fillId="5" borderId="1" xfId="0" applyFill="1" applyBorder="1" applyAlignment="1">
      <alignment horizontal="center"/>
    </xf>
    <xf numFmtId="0" fontId="24" fillId="0" borderId="0" xfId="0" applyFont="1" applyAlignment="1">
      <alignment horizontal="right"/>
    </xf>
    <xf numFmtId="11" fontId="24" fillId="0" borderId="0" xfId="0" applyNumberFormat="1" applyFont="1"/>
    <xf numFmtId="0" fontId="4" fillId="0" borderId="21" xfId="0" applyFont="1" applyBorder="1" applyAlignment="1"/>
    <xf numFmtId="0" fontId="4" fillId="0" borderId="0" xfId="0" applyFont="1" applyBorder="1" applyAlignment="1"/>
    <xf numFmtId="0" fontId="0" fillId="0" borderId="3" xfId="0" applyBorder="1" applyAlignment="1">
      <alignment horizontal="center"/>
    </xf>
    <xf numFmtId="0" fontId="0" fillId="0" borderId="8" xfId="0" applyBorder="1" applyAlignment="1"/>
    <xf numFmtId="0" fontId="0" fillId="0" borderId="9" xfId="0" applyBorder="1" applyAlignment="1"/>
    <xf numFmtId="0" fontId="4" fillId="0" borderId="22" xfId="0" applyFont="1" applyBorder="1" applyAlignment="1"/>
    <xf numFmtId="0" fontId="4" fillId="0" borderId="23" xfId="0" applyFont="1" applyBorder="1" applyAlignment="1"/>
    <xf numFmtId="0" fontId="4" fillId="0" borderId="24" xfId="0" applyFont="1" applyBorder="1" applyAlignment="1"/>
    <xf numFmtId="0" fontId="0" fillId="0" borderId="1" xfId="0" applyBorder="1" applyAlignment="1"/>
    <xf numFmtId="0" fontId="0" fillId="0" borderId="25" xfId="0" applyBorder="1" applyAlignment="1"/>
    <xf numFmtId="0" fontId="0" fillId="0" borderId="26" xfId="0" applyBorder="1" applyAlignment="1"/>
    <xf numFmtId="0" fontId="0" fillId="0" borderId="27" xfId="0" applyBorder="1" applyAlignment="1"/>
  </cellXfs>
  <cellStyles count="1">
    <cellStyle name="Normal" xfId="0" builtinId="0"/>
  </cellStyles>
  <dxfs count="23">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fill>
        <patternFill patternType="none">
          <bgColor indexed="65"/>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ont>
        <condense val="0"/>
        <extend val="0"/>
        <color indexed="9"/>
      </font>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dxf>
    <dxf>
      <font>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742950</xdr:colOff>
          <xdr:row>6</xdr:row>
          <xdr:rowOff>66675</xdr:rowOff>
        </xdr:from>
        <xdr:to>
          <xdr:col>7</xdr:col>
          <xdr:colOff>428625</xdr:colOff>
          <xdr:row>13</xdr:row>
          <xdr:rowOff>38100</xdr:rowOff>
        </xdr:to>
        <xdr:sp macro="" textlink="">
          <xdr:nvSpPr>
            <xdr:cNvPr id="2049" name="Object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80"/>
  <sheetViews>
    <sheetView showGridLines="0" tabSelected="1" defaultGridColor="0" topLeftCell="A10" colorId="8" zoomScaleNormal="100" workbookViewId="0">
      <selection activeCell="F18" sqref="F18"/>
    </sheetView>
  </sheetViews>
  <sheetFormatPr defaultColWidth="10.7109375" defaultRowHeight="12"/>
  <cols>
    <col min="1" max="1" width="15.42578125" style="1" customWidth="1"/>
    <col min="2" max="2" width="18.85546875" style="1" customWidth="1"/>
    <col min="3" max="3" width="6" style="1" customWidth="1"/>
    <col min="4" max="4" width="11.42578125" style="1" customWidth="1"/>
    <col min="5" max="5" width="15" style="1" customWidth="1"/>
    <col min="6" max="6" width="15.7109375" style="1" customWidth="1"/>
    <col min="7" max="7" width="11.85546875" style="1" customWidth="1"/>
    <col min="8" max="16384" width="10.7109375" style="1"/>
  </cols>
  <sheetData>
    <row r="1" spans="1:8" ht="12.75" thickBot="1">
      <c r="A1" s="54" t="s">
        <v>38</v>
      </c>
      <c r="B1" s="75" t="s">
        <v>40</v>
      </c>
      <c r="C1" s="76"/>
      <c r="D1" s="76"/>
      <c r="E1" s="76"/>
      <c r="F1" s="76"/>
      <c r="G1" s="76"/>
      <c r="H1" s="77"/>
    </row>
    <row r="2" spans="1:8" ht="12.75">
      <c r="A2" s="55" t="s">
        <v>33</v>
      </c>
      <c r="B2" s="75" t="s">
        <v>42</v>
      </c>
      <c r="C2" s="76"/>
      <c r="D2" s="76"/>
      <c r="E2" s="76"/>
      <c r="F2" s="76"/>
      <c r="G2" s="76"/>
      <c r="H2" s="77"/>
    </row>
    <row r="3" spans="1:8" ht="12.75">
      <c r="A3" s="56" t="s">
        <v>34</v>
      </c>
      <c r="B3" s="78" t="s">
        <v>41</v>
      </c>
      <c r="C3" s="78"/>
      <c r="D3" s="78"/>
      <c r="E3" s="78"/>
      <c r="F3" s="78"/>
      <c r="G3" s="78"/>
      <c r="H3" s="79"/>
    </row>
    <row r="4" spans="1:8" ht="12.75">
      <c r="A4" s="56" t="s">
        <v>35</v>
      </c>
      <c r="B4" s="78"/>
      <c r="C4" s="78"/>
      <c r="D4" s="78"/>
      <c r="E4" s="78"/>
      <c r="F4" s="78"/>
      <c r="G4" s="78"/>
      <c r="H4" s="79"/>
    </row>
    <row r="5" spans="1:8" ht="12.75">
      <c r="A5" s="56" t="s">
        <v>37</v>
      </c>
      <c r="B5" s="78"/>
      <c r="C5" s="78"/>
      <c r="D5" s="78"/>
      <c r="E5" s="78"/>
      <c r="F5" s="78"/>
      <c r="G5" s="78"/>
      <c r="H5" s="79"/>
    </row>
    <row r="6" spans="1:8" ht="13.5" thickBot="1">
      <c r="A6" s="57" t="s">
        <v>36</v>
      </c>
      <c r="B6" s="80"/>
      <c r="C6" s="80"/>
      <c r="D6" s="80"/>
      <c r="E6" s="80"/>
      <c r="F6" s="80"/>
      <c r="G6" s="80"/>
      <c r="H6" s="81"/>
    </row>
    <row r="7" spans="1:8" ht="12.75" thickBot="1"/>
    <row r="8" spans="1:8" ht="13.5" thickTop="1">
      <c r="A8" s="47" t="s">
        <v>0</v>
      </c>
      <c r="B8" s="32">
        <v>8</v>
      </c>
      <c r="C8" s="70" t="s">
        <v>18</v>
      </c>
      <c r="D8" s="71"/>
      <c r="E8"/>
      <c r="F8" s="46"/>
      <c r="G8" s="45"/>
    </row>
    <row r="9" spans="1:8" ht="12.75">
      <c r="A9" s="47" t="s">
        <v>1</v>
      </c>
      <c r="B9" s="33">
        <v>108000000000</v>
      </c>
      <c r="C9" s="70" t="s">
        <v>17</v>
      </c>
      <c r="D9" s="71"/>
      <c r="E9"/>
      <c r="F9" s="27"/>
      <c r="G9" s="27"/>
    </row>
    <row r="10" spans="1:8" ht="12.75">
      <c r="A10" s="47" t="s">
        <v>21</v>
      </c>
      <c r="B10" s="33">
        <v>3600</v>
      </c>
      <c r="C10" s="20" t="s">
        <v>22</v>
      </c>
      <c r="D10" s="16"/>
      <c r="E10"/>
      <c r="F10" s="27"/>
      <c r="G10" s="27"/>
    </row>
    <row r="11" spans="1:8" ht="12.75">
      <c r="A11" s="47" t="s">
        <v>2</v>
      </c>
      <c r="B11" s="34">
        <v>6.25</v>
      </c>
      <c r="C11" s="3" t="s">
        <v>3</v>
      </c>
      <c r="D11"/>
      <c r="E11"/>
      <c r="F11" s="27"/>
      <c r="G11" s="27"/>
    </row>
    <row r="12" spans="1:8" ht="12.75">
      <c r="A12" s="48" t="s">
        <v>4</v>
      </c>
      <c r="B12" s="35">
        <v>2.27</v>
      </c>
      <c r="C12" s="26" t="s">
        <v>3</v>
      </c>
      <c r="D12" t="s">
        <v>5</v>
      </c>
      <c r="E12"/>
      <c r="F12" s="27"/>
      <c r="G12" s="27"/>
    </row>
    <row r="13" spans="1:8" ht="18.75">
      <c r="A13" s="28" t="s">
        <v>27</v>
      </c>
      <c r="B13" s="35">
        <v>70</v>
      </c>
      <c r="C13" s="26" t="s">
        <v>26</v>
      </c>
      <c r="D13"/>
      <c r="E13"/>
      <c r="F13" s="27"/>
      <c r="G13" s="27"/>
    </row>
    <row r="14" spans="1:8" ht="12.75">
      <c r="A14" s="48" t="s">
        <v>28</v>
      </c>
      <c r="B14" s="35">
        <v>0</v>
      </c>
      <c r="C14" s="31" t="s">
        <v>31</v>
      </c>
      <c r="D14"/>
      <c r="E14"/>
      <c r="F14" s="27"/>
      <c r="G14" s="27"/>
    </row>
    <row r="15" spans="1:8" ht="12.75">
      <c r="A15" s="48" t="s">
        <v>6</v>
      </c>
      <c r="B15" s="36">
        <f>IF(B14&lt;=0, Sullivan_Corr.*0.00000000265*(Ep^0.8)*(COS(ATAN(_d/_R)))*Np*1000/((_R^2+_d^2)*929.03),B14)</f>
        <v>53.386301578877813</v>
      </c>
      <c r="C15" s="31" t="s">
        <v>31</v>
      </c>
      <c r="D15"/>
      <c r="E15" s="30" t="s">
        <v>30</v>
      </c>
      <c r="F15" s="62">
        <f>(0.5/(Th_s+(35/SQRT(Ep)))^2)/(0.5/(90+(35/SQRT(Ep)))^2)</f>
        <v>1.5445368519945331</v>
      </c>
    </row>
    <row r="16" spans="1:8" ht="15.75">
      <c r="A16" s="48" t="s">
        <v>23</v>
      </c>
      <c r="B16" s="37">
        <v>2</v>
      </c>
      <c r="C16" s="29" t="str">
        <f>IF(Number_of_Legs&gt;7,"Maximum of 7 legs allowed only!",IF(Number_of_Legs&lt;=0,"No Legs No Labyrinth",""))</f>
        <v/>
      </c>
      <c r="D16"/>
      <c r="E16"/>
    </row>
    <row r="17" spans="1:8" ht="12.75">
      <c r="A17" s="6"/>
      <c r="B17" s="2"/>
      <c r="C17" s="3"/>
      <c r="D17"/>
      <c r="E17" s="72" t="s">
        <v>20</v>
      </c>
      <c r="F17" s="73"/>
      <c r="G17" s="74"/>
      <c r="H17" s="3" t="s">
        <v>29</v>
      </c>
    </row>
    <row r="18" spans="1:8" ht="12.75">
      <c r="A18" s="6" t="str">
        <f>IF(Number_of_Legs&gt;=1,"Leg 1 Area=", "")</f>
        <v>Leg 1 Area=</v>
      </c>
      <c r="B18" s="38">
        <v>0.19600000000000001</v>
      </c>
      <c r="C18" s="3" t="str">
        <f>IF(Number_of_Legs&gt;=1,"ft^2", "")</f>
        <v>ft^2</v>
      </c>
      <c r="D18"/>
      <c r="E18" s="2" t="str">
        <f>IF(Number_of_Legs&gt;=1,"Leg 1 Angle=", "")</f>
        <v>Leg 1 Angle=</v>
      </c>
      <c r="F18" s="39">
        <v>0</v>
      </c>
      <c r="G18" s="3" t="str">
        <f>IF(Number_of_Legs&gt;=1,"degrees", "")</f>
        <v>degrees</v>
      </c>
      <c r="H18" s="3">
        <v>1</v>
      </c>
    </row>
    <row r="19" spans="1:8" ht="12.75">
      <c r="A19" s="6" t="str">
        <f>IF(Number_of_Legs&gt;=2,"Leg 2 Area=","" )</f>
        <v>Leg 2 Area=</v>
      </c>
      <c r="B19" s="67">
        <v>0.19600000000000001</v>
      </c>
      <c r="C19" s="3" t="str">
        <f>IF(Number_of_Legs&gt;=2,"ft^2", "")</f>
        <v>ft^2</v>
      </c>
      <c r="D19"/>
      <c r="E19" s="2" t="str">
        <f>IF(Number_of_Legs&gt;=2,"Leg 2 Angle=", "")</f>
        <v>Leg 2 Angle=</v>
      </c>
      <c r="F19" s="39">
        <v>90</v>
      </c>
      <c r="G19" s="3" t="str">
        <f>IF(Number_of_Legs&gt;=2,IF(Th_2&lt;=180,"degrees","( 0-180 degs.)"), "")</f>
        <v>degrees</v>
      </c>
      <c r="H19" s="3">
        <f>IF(Th_2=0,1,2)</f>
        <v>2</v>
      </c>
    </row>
    <row r="20" spans="1:8" ht="12.75">
      <c r="A20" s="6" t="str">
        <f>IF(Number_of_Legs&gt;=3,"Leg 3 Area=", "")</f>
        <v/>
      </c>
      <c r="B20" s="38">
        <v>0.19600000000000001</v>
      </c>
      <c r="C20" s="3" t="str">
        <f>IF(Number_of_Legs&gt;=3,"ft^2", "")</f>
        <v/>
      </c>
      <c r="D20"/>
      <c r="E20" s="2" t="str">
        <f>IF(Number_of_Legs&gt;=3,"Leg 3 Angle=", "")</f>
        <v/>
      </c>
      <c r="F20" s="39"/>
      <c r="G20" s="3" t="str">
        <f>IF(Number_of_Legs&gt;=3,IF(Th_3&lt;=180,"degrees","( 0-180 degs.)"), "")</f>
        <v/>
      </c>
      <c r="H20" s="3">
        <f>IF(AND(Th_2=0,Th_3=0),1,3)</f>
        <v>3</v>
      </c>
    </row>
    <row r="21" spans="1:8" ht="12.75">
      <c r="A21" s="6" t="str">
        <f>IF(Number_of_Legs&gt;=4,"Leg 4 Area=", "")</f>
        <v/>
      </c>
      <c r="B21" s="38">
        <v>108</v>
      </c>
      <c r="C21" s="3" t="str">
        <f>IF(Number_of_Legs&gt;=4,"ft^2", "")</f>
        <v/>
      </c>
      <c r="D21"/>
      <c r="E21" s="2" t="str">
        <f>IF(Number_of_Legs&gt;=4,"Leg 4 Angle=", "")</f>
        <v/>
      </c>
      <c r="F21" s="39">
        <v>3</v>
      </c>
      <c r="G21" s="3" t="str">
        <f>IF(Number_of_Legs&gt;=4,IF(Th_4&lt;=180,"degrees","( 0-180 degs.)"), "")</f>
        <v/>
      </c>
      <c r="H21" s="3">
        <f>IF(AND(Th_2=0,Th_3=0,Th_4=0),1,4)</f>
        <v>4</v>
      </c>
    </row>
    <row r="22" spans="1:8" ht="12.75">
      <c r="A22" s="6" t="str">
        <f>IF(Number_of_Legs&gt;=5,"Leg 5 Area=", "")</f>
        <v/>
      </c>
      <c r="B22" s="38">
        <v>108</v>
      </c>
      <c r="C22" s="3" t="str">
        <f>IF(Number_of_Legs&gt;=5,"ft^2", "")</f>
        <v/>
      </c>
      <c r="D22"/>
      <c r="E22" s="2" t="str">
        <f>IF(Number_of_Legs&gt;=5,"Leg 5 Angle=", "")</f>
        <v/>
      </c>
      <c r="F22" s="39">
        <v>4</v>
      </c>
      <c r="G22" s="3" t="str">
        <f>IF(Number_of_Legs&gt;=5,IF(Th_5&lt;=180,"degrees","( 0-180 degs.)"), "")</f>
        <v/>
      </c>
      <c r="H22" s="3">
        <f>IF(AND(Th_2=0,Th_3=0,Th_4=0,Th_5=0),1,5)</f>
        <v>5</v>
      </c>
    </row>
    <row r="23" spans="1:8" ht="12.75">
      <c r="A23" s="6" t="str">
        <f>IF(Number_of_Legs&gt;=6,"Leg 6 Area=", "")</f>
        <v/>
      </c>
      <c r="B23" s="38">
        <v>33</v>
      </c>
      <c r="C23" s="3" t="str">
        <f>IF(Number_of_Legs&gt;=6,"ft^2", "")</f>
        <v/>
      </c>
      <c r="D23"/>
      <c r="E23" s="2" t="str">
        <f>IF(Number_of_Legs&gt;=6,"Leg 6 Angle=", "")</f>
        <v/>
      </c>
      <c r="F23" s="39">
        <v>6</v>
      </c>
      <c r="G23" s="3" t="str">
        <f>IF(Number_of_Legs&gt;=6,IF(Th_6&lt;=180,"degrees","( 0-180 degs.)"), "")</f>
        <v/>
      </c>
      <c r="H23" s="3">
        <f>IF(AND(Th_2=0,Th_3=0,Th_4=0,Th_5=0,Th_6=0),1,6)</f>
        <v>6</v>
      </c>
    </row>
    <row r="24" spans="1:8" ht="12.75">
      <c r="A24" s="6" t="str">
        <f>IF(Number_of_Legs&gt;=7,"Leg 7 Area=", "")</f>
        <v/>
      </c>
      <c r="B24" s="38">
        <v>3</v>
      </c>
      <c r="C24" s="3" t="str">
        <f>IF(Number_of_Legs&gt;=7,"ft^2", "")</f>
        <v/>
      </c>
      <c r="D24"/>
      <c r="E24" s="2" t="str">
        <f>IF(Number_of_Legs&gt;=7,"Leg 7 Angle=", "")</f>
        <v/>
      </c>
      <c r="F24" s="39">
        <v>0</v>
      </c>
      <c r="G24" s="3" t="str">
        <f>IF(Number_of_Legs&gt;=7,IF(Th_7&lt;=180,"degrees","( 0-180 degs.)"), "")</f>
        <v/>
      </c>
      <c r="H24" s="3">
        <f>IF(AND(Th_2=0,Th_3=0,Th_4=0,Th_5=0,Th_6=0,Th_7=0),1,7)</f>
        <v>7</v>
      </c>
    </row>
    <row r="25" spans="1:8" ht="12.75">
      <c r="A25" s="6"/>
      <c r="B25" s="2"/>
      <c r="C25" s="3"/>
      <c r="F25" s="40"/>
      <c r="G25"/>
    </row>
    <row r="26" spans="1:8" ht="12.75">
      <c r="A26" s="6" t="str">
        <f>IF(Number_of_Legs&gt;=1,"Leg 1 Length=", "")</f>
        <v>Leg 1 Length=</v>
      </c>
      <c r="B26" s="38">
        <v>23.375</v>
      </c>
      <c r="C26" s="3" t="str">
        <f>IF(Number_of_Legs&gt;=1,"ft", "")</f>
        <v>ft</v>
      </c>
      <c r="D26"/>
      <c r="E26" t="s">
        <v>39</v>
      </c>
      <c r="F26">
        <f>Np*fp</f>
        <v>388800000000000</v>
      </c>
      <c r="G26"/>
    </row>
    <row r="27" spans="1:8" ht="12.75">
      <c r="A27" s="6" t="str">
        <f>IF(Number_of_Legs&gt;=2,"Leg 2 Length=", "")</f>
        <v>Leg 2 Length=</v>
      </c>
      <c r="B27" s="38">
        <v>10.5</v>
      </c>
      <c r="C27" s="3" t="str">
        <f>IF(Number_of_Legs&gt;=2,"ft", "")</f>
        <v>ft</v>
      </c>
      <c r="D27"/>
      <c r="E27"/>
      <c r="F27"/>
      <c r="G27"/>
    </row>
    <row r="28" spans="1:8" ht="12.75">
      <c r="A28" s="6" t="str">
        <f>IF(Number_of_Legs&gt;=3,"Leg 3 Length=", "")</f>
        <v/>
      </c>
      <c r="B28" s="38">
        <v>3.5</v>
      </c>
      <c r="C28" s="3" t="str">
        <f>IF(Number_of_Legs&gt;=3,"ft", "")</f>
        <v/>
      </c>
      <c r="D28"/>
      <c r="E28"/>
      <c r="F28"/>
      <c r="G28"/>
    </row>
    <row r="29" spans="1:8" ht="12.75">
      <c r="A29" s="6" t="str">
        <f>IF(Number_of_Legs&gt;=4,"Leg 4 Length=", "")</f>
        <v/>
      </c>
      <c r="B29" s="38">
        <v>50</v>
      </c>
      <c r="C29" s="3" t="str">
        <f>IF(Number_of_Legs&gt;=4,"ft", "")</f>
        <v/>
      </c>
      <c r="D29"/>
      <c r="E29"/>
      <c r="F29"/>
      <c r="G29"/>
    </row>
    <row r="30" spans="1:8" ht="12.75">
      <c r="A30" s="6" t="str">
        <f>IF(Number_of_Legs&gt;=5,"Leg 5 Length=", "")</f>
        <v/>
      </c>
      <c r="B30" s="38">
        <v>60</v>
      </c>
      <c r="C30" s="3" t="str">
        <f>IF(Number_of_Legs&gt;=5,"ft", "")</f>
        <v/>
      </c>
      <c r="D30"/>
      <c r="E30"/>
      <c r="F30"/>
      <c r="G30"/>
    </row>
    <row r="31" spans="1:8" ht="12.75">
      <c r="A31" s="6" t="str">
        <f>IF(Number_of_Legs&gt;=6,"Leg 6 Length=", "")</f>
        <v/>
      </c>
      <c r="B31" s="38">
        <v>66</v>
      </c>
      <c r="C31" s="3" t="str">
        <f>IF(Number_of_Legs&gt;=6,"ft", "")</f>
        <v/>
      </c>
      <c r="D31"/>
      <c r="E31"/>
      <c r="F31"/>
      <c r="G31"/>
    </row>
    <row r="32" spans="1:8" ht="12.75">
      <c r="A32" s="6" t="str">
        <f>IF(Number_of_Legs&gt;=7,"Leg 7 Length=", "")</f>
        <v/>
      </c>
      <c r="B32" s="38">
        <v>20</v>
      </c>
      <c r="C32" s="3" t="str">
        <f>IF(Number_of_Legs&gt;=7,"ft", "")</f>
        <v/>
      </c>
      <c r="D32"/>
      <c r="E32"/>
      <c r="F32"/>
      <c r="G32"/>
    </row>
    <row r="33" spans="1:7" ht="12.75">
      <c r="A33" s="2"/>
      <c r="B33" s="5"/>
      <c r="C33" s="3"/>
      <c r="D33"/>
      <c r="E33"/>
      <c r="F33" s="40"/>
      <c r="G33"/>
    </row>
    <row r="34" spans="1:7" ht="12.75">
      <c r="A34" s="2" t="str">
        <f>IF(Number_of_Legs&gt;=1,"Leg 1 (""Units"")=", "")</f>
        <v>Leg 1 ("Units")=</v>
      </c>
      <c r="B34" s="21">
        <f>IF(Number_of_Legs&gt;=1,Leg_1_length/SQRT(Leg_1_area), "")</f>
        <v>52.798743076025616</v>
      </c>
      <c r="C34" s="3"/>
      <c r="E34"/>
    </row>
    <row r="35" spans="1:7" ht="12.75">
      <c r="A35" s="2" t="str">
        <f>IF(Number_of_Legs&gt;=2,"Leg 2 (""Units"")=", "")</f>
        <v>Leg 2 ("Units")=</v>
      </c>
      <c r="B35" s="21">
        <f>IF(Number_of_Legs&gt;=2,Leg_2_length/SQRT(Leg_2_area), "")</f>
        <v>23.717082451262844</v>
      </c>
      <c r="C35" s="3"/>
      <c r="D35"/>
      <c r="E35"/>
    </row>
    <row r="36" spans="1:7" ht="12.75">
      <c r="A36" s="2" t="str">
        <f>IF(Number_of_Legs&gt;=3,"Leg 3 (""Units"")=", "")</f>
        <v/>
      </c>
      <c r="B36" s="21" t="str">
        <f>IF(Number_of_Legs&gt;=3,Leg_3_length/SQRT(Leg_3_area), "")</f>
        <v/>
      </c>
      <c r="C36" s="3"/>
      <c r="D36"/>
      <c r="E36"/>
    </row>
    <row r="37" spans="1:7" ht="12.75">
      <c r="A37" s="2" t="str">
        <f>IF(Number_of_Legs&gt;=4,"Leg 4 (""Units"")=", "")</f>
        <v/>
      </c>
      <c r="B37" s="21" t="str">
        <f>IF(Number_of_Legs&gt;=4,Leg_4_length/SQRT(Leg_4_area), "")</f>
        <v/>
      </c>
      <c r="C37" s="3"/>
      <c r="D37"/>
      <c r="E37"/>
    </row>
    <row r="38" spans="1:7" ht="12.75">
      <c r="A38" s="2" t="str">
        <f>IF(Number_of_Legs&gt;=5,"Leg 5 (""Units"")=", "")</f>
        <v/>
      </c>
      <c r="B38" s="21" t="str">
        <f>IF(Number_of_Legs&gt;=5,Leg_5_length/SQRT(Leg_5_area), "")</f>
        <v/>
      </c>
      <c r="C38" s="3"/>
      <c r="D38"/>
      <c r="E38"/>
    </row>
    <row r="39" spans="1:7" ht="12.75">
      <c r="A39" s="2" t="str">
        <f>IF(Number_of_Legs&gt;=6,"Leg 6 (""Units"")=", "")</f>
        <v/>
      </c>
      <c r="B39" s="21" t="str">
        <f>IF(Number_of_Legs&gt;=6,Leg_6_length/SQRT(Leg_6_area), "")</f>
        <v/>
      </c>
      <c r="C39" s="3"/>
      <c r="D39"/>
      <c r="E39"/>
    </row>
    <row r="40" spans="1:7" ht="12.75">
      <c r="A40" s="2" t="str">
        <f>IF(Number_of_Legs&gt;=7,"Leg 7 (""Units"")=", "")</f>
        <v/>
      </c>
      <c r="B40" s="21" t="str">
        <f>IF(Number_of_Legs&gt;=7,Leg_7_length/SQRT(Leg_7_area), "")</f>
        <v/>
      </c>
      <c r="C40" s="3"/>
      <c r="D40"/>
      <c r="E40"/>
    </row>
    <row r="41" spans="1:7" ht="12.75">
      <c r="A41" s="3"/>
      <c r="B41" s="3"/>
      <c r="C41" s="3"/>
      <c r="D41"/>
      <c r="E41"/>
    </row>
    <row r="42" spans="1:7" ht="12.75">
      <c r="A42" s="3"/>
      <c r="B42" s="2" t="s">
        <v>32</v>
      </c>
      <c r="C42" s="3"/>
      <c r="D42" s="19"/>
      <c r="E42"/>
    </row>
    <row r="43" spans="1:7" ht="12.75">
      <c r="A43" s="2" t="str">
        <f>IF(Number_of_Legs&gt;=1,"Leg 1 ", "")</f>
        <v xml:space="preserve">Leg 1 </v>
      </c>
      <c r="B43" s="4">
        <f>IF(Number_of_Legs&gt;=1,IF(_L1&gt;0,IF(_L1&lt;20,(ro/(_L1+ro))^2,21.51*Leg_1_area/(4*PI()*Leg_1_length*Leg_1_length))," "),"")</f>
        <v>6.1402121776678287E-4</v>
      </c>
      <c r="C43" s="3"/>
      <c r="D43" s="44"/>
      <c r="E43" s="42"/>
    </row>
    <row r="44" spans="1:7" ht="12.75">
      <c r="A44" s="2" t="str">
        <f>IF(Number_of_Legs&gt;=2,"Leg 2 ", "")</f>
        <v xml:space="preserve">Leg 2 </v>
      </c>
      <c r="B44" s="4">
        <f>IF(Number_of_Legs&gt;=2,IF(PRODUCT(B34:B35)&gt;0,IF(_L2&gt;=20,IF(co_L2&gt;1,(EXP(-_L2/_r1) + _K*EXP(-_L2/_r2)+_J*EXP(-_L2/_r3))/(1+_K+_J),21.51*Leg_2_area/(4*PI()*Leg_2_length*Leg_2_length)),(EXP(-_L2/_r1) + _K*EXP(-_L2/_r2)+_J*EXP(-_L2/_r3))/(1+_K+_J)),1)," ")</f>
        <v>1.3245584317124379E-5</v>
      </c>
      <c r="C44" s="3"/>
      <c r="D44" s="44"/>
      <c r="E44" s="42"/>
    </row>
    <row r="45" spans="1:7" ht="12.75">
      <c r="A45" s="2" t="str">
        <f>IF(Number_of_Legs&gt;=3,"Leg 3 ", "")</f>
        <v/>
      </c>
      <c r="B45" s="4" t="str">
        <f>IF(Number_of_Legs&gt;=3,IF(PRODUCT(B34:B36)&gt;0,IF(_L3&gt;=20,IF(co_L3&gt;1,(EXP(-_L3/_r1) + _K*EXP(-_L3/_r2)+_J*EXP(-_L3/_r3))/(1+_K+_J),21.51*Leg_3_area/(4*PI()*Leg_3_length*Leg_3_length)),(EXP(-_L3/_r1) + _K*EXP(-_L3/_r2)+_J*EXP(-_L3/_r3))/(1+_K+_J)),1),"")</f>
        <v/>
      </c>
      <c r="C45" s="3"/>
      <c r="D45" s="44"/>
      <c r="E45" s="42"/>
    </row>
    <row r="46" spans="1:7" ht="12.75">
      <c r="A46" s="2" t="str">
        <f>IF(Number_of_Legs&gt;=4,"Leg 4 ", "")</f>
        <v/>
      </c>
      <c r="B46" s="4" t="str">
        <f>IF(Number_of_Legs&gt;=4,IF(PRODUCT(B34:B37)&gt;0,IF(_L4&gt;=20,IF(co_L4&gt;1,(EXP(-_L4/_r1) + _K*EXP(-_L4/_r2)+_J*EXP(-_L4/_r3))/(1+_K+_J),21.51*Leg_4_area/(4*PI()*Leg_4_length*Leg_4_length)),(EXP(-_L4/_r1) + _K*EXP(-_L4/_r2)+_J*EXP(-_L4/_r3))/(1+_K+_J)),1),"")</f>
        <v/>
      </c>
      <c r="C46" s="3"/>
      <c r="D46" s="44"/>
      <c r="E46" s="42"/>
    </row>
    <row r="47" spans="1:7" ht="12.75">
      <c r="A47" s="2" t="str">
        <f>IF(Number_of_Legs&gt;=5,"Leg 5 ", "")</f>
        <v/>
      </c>
      <c r="B47" s="4" t="str">
        <f>IF(Number_of_Legs&gt;=5,IF(PRODUCT(B34:B38)&gt;0,IF(_L5&gt;=20,IF(co_L5&gt;1,(EXP(-_L5/_r1) + _K*EXP(-_L5/_r2)+_J*EXP(-_L5/_r3))/(1+_K+_J),21.51*Leg_5_area/(4*PI()*Leg_5_length*Leg_5_length)),(EXP(-_L5/_r1) + _K*EXP(-_L5/_r2)+_J*EXP(-_L5/_r3))/(1+_K+_J)),1),"")</f>
        <v/>
      </c>
      <c r="C47" s="3"/>
      <c r="D47" s="44"/>
      <c r="E47" s="42"/>
    </row>
    <row r="48" spans="1:7" ht="12.75">
      <c r="A48" s="2" t="str">
        <f>IF(Number_of_Legs&gt;=6,"Leg 6 ", "")</f>
        <v/>
      </c>
      <c r="B48" s="4" t="str">
        <f>IF(Number_of_Legs&gt;=6,IF(PRODUCT(B34:B39)&gt;0,IF(_L6&gt;=20,IF(co_L6&gt;1,(EXP(-_L6/_r1) + _K*EXP(-_L6/_r2)+_J*EXP(-_L6/_r3))/(1+_K+_J),21.51*Leg_6_area/(4*PI()*Leg_6_length*Leg_6_length)),(EXP(-_L6/_r1) + _K*EXP(-_L6/_r2)+_J*EXP(-_L6/_r3))/(1+_K+_J)),1),"")</f>
        <v/>
      </c>
      <c r="C48" s="3"/>
      <c r="D48" s="44"/>
      <c r="E48"/>
    </row>
    <row r="49" spans="1:5" ht="12.75">
      <c r="A49" s="2" t="str">
        <f>IF(Number_of_Legs&gt;=7,"Leg 7 ", "")</f>
        <v/>
      </c>
      <c r="B49" s="4" t="str">
        <f>IF(Number_of_Legs&gt;=7,IF(PRODUCT(B34:B40)&gt;0,IF(_L7&gt;=20,IF(co_L7&gt;1,(EXP(-_L7/_r1) + _K*EXP(-_L7/_r2)+_J*EXP(-_L7/_r3))/(1+_K+_J),21.51*Leg_7_area/(4*PI()*Leg_7_length*Leg_7_length)),(EXP(-_L7/_r1) + _K*EXP(-_L7/_r2)+_J*EXP(-_L7/_r3))/(1+_K+_J)),1),"")</f>
        <v/>
      </c>
      <c r="C49" s="3"/>
      <c r="D49" s="44"/>
      <c r="E49"/>
    </row>
    <row r="50" spans="1:5" ht="12.75">
      <c r="A50" s="3"/>
      <c r="B50" s="17"/>
      <c r="C50" s="3"/>
      <c r="E50"/>
    </row>
    <row r="51" spans="1:5" ht="12.75">
      <c r="A51" s="3"/>
      <c r="B51" s="18" t="s">
        <v>19</v>
      </c>
      <c r="C51" s="3"/>
      <c r="E51"/>
    </row>
    <row r="52" spans="1:5" ht="12.75">
      <c r="A52" s="2" t="str">
        <f>IF(Number_of_Legs&gt;=1,"Leg 1 ", "")</f>
        <v xml:space="preserve">Leg 1 </v>
      </c>
      <c r="B52" s="17">
        <f>IF(Number_of_Legs&gt;=1,A_F1*COS(RADIANS(Th_1)),"")</f>
        <v>6.1402121776678287E-4</v>
      </c>
      <c r="C52" s="3"/>
      <c r="E52" s="42"/>
    </row>
    <row r="53" spans="1:5" ht="15.75" customHeight="1">
      <c r="A53" s="2" t="str">
        <f>IF(Number_of_Legs&gt;=2,"Leg 2 ", "")</f>
        <v xml:space="preserve">Leg 2 </v>
      </c>
      <c r="B53" s="17">
        <f>IF(Number_of_Legs&gt;=2,A_F2*(1+IF(_L2&gt;0, COS(RADIANS(Th_2)),0) ),"")</f>
        <v>1.3245584317124379E-5</v>
      </c>
      <c r="C53" s="3"/>
      <c r="D53" s="41"/>
      <c r="E53" s="43"/>
    </row>
    <row r="54" spans="1:5" ht="12.75">
      <c r="A54" s="2" t="str">
        <f>IF(Number_of_Legs&gt;=3,"Leg 3 ", "")</f>
        <v/>
      </c>
      <c r="B54" s="17" t="str">
        <f>IF(Number_of_Legs&gt;=3,A_F3*(1+IF(_L3&gt;0, COS(RADIANS(Th_3)),0) ),"")</f>
        <v/>
      </c>
      <c r="C54" s="3"/>
      <c r="E54"/>
    </row>
    <row r="55" spans="1:5" ht="12.75">
      <c r="A55" s="2" t="str">
        <f>IF(Number_of_Legs&gt;=4,"Leg 4 ", "")</f>
        <v/>
      </c>
      <c r="B55" s="17" t="str">
        <f>IF(Number_of_Legs&gt;=4,A_F4*(1+IF(_L4&gt;0, COS(RADIANS(Th_4)),0) ),"")</f>
        <v/>
      </c>
      <c r="C55" s="3"/>
      <c r="E55"/>
    </row>
    <row r="56" spans="1:5" ht="12.75">
      <c r="A56" s="2" t="str">
        <f>IF(Number_of_Legs&gt;=5,"Leg 5 ", "")</f>
        <v/>
      </c>
      <c r="B56" s="17" t="str">
        <f>IF(Number_of_Legs&gt;=5,A_F5*(1+IF(_L5&gt;0, COS(RADIANS(Th_5)),0) ),"")</f>
        <v/>
      </c>
      <c r="C56" s="3"/>
      <c r="E56"/>
    </row>
    <row r="57" spans="1:5" ht="12.75">
      <c r="A57" s="2" t="str">
        <f>IF(Number_of_Legs&gt;=6,"Leg 6 ", "")</f>
        <v/>
      </c>
      <c r="B57" s="17" t="str">
        <f>IF(Number_of_Legs&gt;=6,A_F6*(1+IF(_L6&gt;0, COS(RADIANS(Th_6)),0) ),"")</f>
        <v/>
      </c>
      <c r="C57" s="3"/>
      <c r="E57"/>
    </row>
    <row r="58" spans="1:5" ht="13.5" thickBot="1">
      <c r="A58" s="49" t="str">
        <f>IF(Number_of_Legs&gt;=7,"Leg 7 ", "")</f>
        <v/>
      </c>
      <c r="B58" s="17" t="str">
        <f>IF(Number_of_Legs&gt;=7,A_F7*(1+IF(_L7&gt;0, COS(RADIANS(Th_7)),0) ),"")</f>
        <v/>
      </c>
      <c r="C58" s="3"/>
      <c r="E58"/>
    </row>
    <row r="59" spans="1:5" ht="13.5" thickBot="1">
      <c r="A59" s="61" t="s">
        <v>25</v>
      </c>
      <c r="B59" s="60">
        <f>PRODUCT(IF(AT_1&gt;0,AT_1,1),IF(AT_2&gt;0,AT_2,1),IF(AT_3&gt;0,AT_3,1),IF(AT_4&gt;0,AT_4,1),IF(AT_5&gt;0,AT_5,1),IF(AT_6&gt;0,AT_6,1),IF(AT_7&gt;0,AT_7,1))</f>
        <v>8.1330698124333119E-9</v>
      </c>
      <c r="C59" s="26"/>
      <c r="E59"/>
    </row>
    <row r="60" spans="1:5" ht="12.75">
      <c r="A60" s="58"/>
      <c r="B60" s="59"/>
      <c r="C60" s="3"/>
      <c r="E60"/>
    </row>
    <row r="61" spans="1:5" ht="13.5" thickBot="1">
      <c r="A61" s="3"/>
      <c r="B61" s="8"/>
      <c r="C61" s="3"/>
      <c r="D61"/>
      <c r="E61"/>
    </row>
    <row r="62" spans="1:5" ht="12.75">
      <c r="A62" s="7"/>
      <c r="B62" s="10" t="s">
        <v>7</v>
      </c>
      <c r="C62" s="15"/>
      <c r="D62" s="13" t="s">
        <v>7</v>
      </c>
      <c r="E62"/>
    </row>
    <row r="63" spans="1:5">
      <c r="A63" s="7"/>
      <c r="B63" s="11" t="s">
        <v>8</v>
      </c>
      <c r="C63" s="15"/>
      <c r="D63" s="14" t="s">
        <v>9</v>
      </c>
    </row>
    <row r="64" spans="1:5" ht="12.75">
      <c r="A64" s="2" t="str">
        <f>IF(Number_of_Legs&gt;=1,"Leg 1 ", "")</f>
        <v xml:space="preserve">Leg 1 </v>
      </c>
      <c r="B64" s="63">
        <f>IF(Number_of_Legs&gt;=1,B$15*AT_1,"")</f>
        <v>3.2780321907527277E-2</v>
      </c>
      <c r="C64" s="15"/>
      <c r="D64" s="65">
        <f>IF(Number_of_Legs&gt;=1,B64*fp,"")</f>
        <v>118.00915886709819</v>
      </c>
    </row>
    <row r="65" spans="1:6" ht="12.75">
      <c r="A65" s="2" t="str">
        <f>IF(Number_of_Legs&gt;=2,"Leg 2 ", "")</f>
        <v xml:space="preserve">Leg 2 </v>
      </c>
      <c r="B65" s="63">
        <f>IF(Number_of_Legs&gt;=2,B64*AT_2,"")</f>
        <v>4.3419451776863197E-7</v>
      </c>
      <c r="C65" s="15"/>
      <c r="D65" s="65">
        <f>IF(Number_of_Legs&gt;=2,B65*fp,"")</f>
        <v>1.5631002639670752E-3</v>
      </c>
    </row>
    <row r="66" spans="1:6" ht="12.75">
      <c r="A66" s="2" t="str">
        <f>IF(Number_of_Legs&gt;=3,"Leg 3 ", "")</f>
        <v/>
      </c>
      <c r="B66" s="63" t="str">
        <f>IF(Number_of_Legs&gt;=3,B65*AT_3,"")</f>
        <v/>
      </c>
      <c r="C66" s="15"/>
      <c r="D66" s="65" t="str">
        <f>IF(Number_of_Legs&gt;=3,B66*fp,"")</f>
        <v/>
      </c>
      <c r="E66" s="68"/>
      <c r="F66" s="69"/>
    </row>
    <row r="67" spans="1:6" ht="12.75">
      <c r="A67" s="2" t="str">
        <f>IF(Number_of_Legs&gt;=4,"Leg 4 ", "")</f>
        <v/>
      </c>
      <c r="B67" s="63" t="str">
        <f>IF(Number_of_Legs&gt;=4,B66*AT_4,"")</f>
        <v/>
      </c>
      <c r="C67" s="15"/>
      <c r="D67" s="65" t="str">
        <f>IF(Number_of_Legs&gt;=4,B67*fp,"")</f>
        <v/>
      </c>
    </row>
    <row r="68" spans="1:6" ht="12.75">
      <c r="A68" s="2" t="str">
        <f>IF(Number_of_Legs&gt;=5,"Leg 5 ", "")</f>
        <v/>
      </c>
      <c r="B68" s="63" t="str">
        <f>IF(Number_of_Legs&gt;=5,B67*AT_5,"")</f>
        <v/>
      </c>
      <c r="C68" s="15"/>
      <c r="D68" s="65" t="str">
        <f>IF(Number_of_Legs&gt;=5,B68*fp,"")</f>
        <v/>
      </c>
    </row>
    <row r="69" spans="1:6" ht="12.75">
      <c r="A69" s="2" t="str">
        <f>IF(Number_of_Legs&gt;=6,"Leg 6 ", "")</f>
        <v/>
      </c>
      <c r="B69" s="63" t="str">
        <f>IF(Number_of_Legs&gt;=6,B68*AT_6,"")</f>
        <v/>
      </c>
      <c r="C69" s="15"/>
      <c r="D69" s="65" t="str">
        <f>IF(Number_of_Legs&gt;=6,B69*fp,"")</f>
        <v/>
      </c>
    </row>
    <row r="70" spans="1:6" ht="13.5" thickBot="1">
      <c r="A70" s="2" t="str">
        <f>IF(Number_of_Legs&gt;=7,"Leg 7 ", "")</f>
        <v/>
      </c>
      <c r="B70" s="64" t="str">
        <f>IF(Number_of_Legs&gt;=7,B69*AT_7,"")</f>
        <v/>
      </c>
      <c r="C70" s="15"/>
      <c r="D70" s="66" t="str">
        <f>IF(Number_of_Legs&gt;=7,B70*fp,"")</f>
        <v/>
      </c>
    </row>
    <row r="71" spans="1:6" ht="12.75">
      <c r="A71" s="49"/>
      <c r="B71" s="22"/>
      <c r="C71" s="53"/>
      <c r="D71" s="23"/>
    </row>
    <row r="72" spans="1:6" ht="12.75">
      <c r="A72" s="50"/>
      <c r="B72" s="22"/>
      <c r="C72" s="45"/>
      <c r="D72" s="23"/>
    </row>
    <row r="73" spans="1:6">
      <c r="A73" s="45"/>
      <c r="B73" s="45"/>
      <c r="C73" s="45"/>
      <c r="E73" s="12"/>
    </row>
    <row r="74" spans="1:6" hidden="1">
      <c r="A74" s="51" t="s">
        <v>10</v>
      </c>
      <c r="B74" s="52" t="s">
        <v>24</v>
      </c>
      <c r="C74" s="9"/>
    </row>
    <row r="75" spans="1:6" hidden="1">
      <c r="A75" s="24" t="s">
        <v>11</v>
      </c>
      <c r="B75" s="25">
        <v>1.4</v>
      </c>
      <c r="C75" s="3"/>
    </row>
    <row r="76" spans="1:6" hidden="1">
      <c r="A76" s="24" t="s">
        <v>12</v>
      </c>
      <c r="B76" s="25">
        <v>0.17</v>
      </c>
      <c r="C76" s="3"/>
    </row>
    <row r="77" spans="1:6" hidden="1">
      <c r="A77" s="24" t="s">
        <v>13</v>
      </c>
      <c r="B77" s="25">
        <v>1.17</v>
      </c>
      <c r="C77" s="3"/>
    </row>
    <row r="78" spans="1:6" hidden="1">
      <c r="A78" s="24" t="s">
        <v>14</v>
      </c>
      <c r="B78" s="25">
        <v>5.25</v>
      </c>
      <c r="C78" s="3"/>
    </row>
    <row r="79" spans="1:6" hidden="1">
      <c r="A79" s="24" t="s">
        <v>15</v>
      </c>
      <c r="B79" s="25">
        <v>0.21</v>
      </c>
      <c r="C79" s="3"/>
    </row>
    <row r="80" spans="1:6" hidden="1">
      <c r="A80" s="24" t="s">
        <v>16</v>
      </c>
      <c r="B80" s="25">
        <v>1.47E-3</v>
      </c>
      <c r="C80" s="3"/>
    </row>
  </sheetData>
  <mergeCells count="9">
    <mergeCell ref="C8:D8"/>
    <mergeCell ref="C9:D9"/>
    <mergeCell ref="E17:G17"/>
    <mergeCell ref="B1:H1"/>
    <mergeCell ref="B2:H2"/>
    <mergeCell ref="B3:H3"/>
    <mergeCell ref="B4:H4"/>
    <mergeCell ref="B5:H5"/>
    <mergeCell ref="B6:H6"/>
  </mergeCells>
  <conditionalFormatting sqref="C13">
    <cfRule type="expression" dxfId="22" priority="23" stopIfTrue="1">
      <formula>$B$13&gt;180</formula>
    </cfRule>
  </conditionalFormatting>
  <conditionalFormatting sqref="B34:B40">
    <cfRule type="cellIs" dxfId="21" priority="22" stopIfTrue="1" operator="greaterThan">
      <formula>20</formula>
    </cfRule>
  </conditionalFormatting>
  <conditionalFormatting sqref="B43">
    <cfRule type="expression" dxfId="20" priority="21" stopIfTrue="1">
      <formula>$B$34&gt;20</formula>
    </cfRule>
  </conditionalFormatting>
  <conditionalFormatting sqref="F23">
    <cfRule type="expression" dxfId="19" priority="20" stopIfTrue="1">
      <formula>$B$16&lt;6</formula>
    </cfRule>
  </conditionalFormatting>
  <conditionalFormatting sqref="F24">
    <cfRule type="expression" dxfId="18" priority="19" stopIfTrue="1">
      <formula>$B$16&lt;7</formula>
    </cfRule>
  </conditionalFormatting>
  <conditionalFormatting sqref="F22">
    <cfRule type="expression" dxfId="17" priority="18" stopIfTrue="1">
      <formula>$B$16&lt;5</formula>
    </cfRule>
  </conditionalFormatting>
  <conditionalFormatting sqref="F21">
    <cfRule type="expression" dxfId="16" priority="17" stopIfTrue="1">
      <formula>$B$16&lt;4</formula>
    </cfRule>
  </conditionalFormatting>
  <conditionalFormatting sqref="F20">
    <cfRule type="expression" dxfId="15" priority="16" stopIfTrue="1">
      <formula>$B$16&lt;3</formula>
    </cfRule>
  </conditionalFormatting>
  <conditionalFormatting sqref="F19">
    <cfRule type="expression" dxfId="14" priority="15" stopIfTrue="1">
      <formula>$B$16&lt;2</formula>
    </cfRule>
  </conditionalFormatting>
  <conditionalFormatting sqref="F18">
    <cfRule type="expression" dxfId="13" priority="14" stopIfTrue="1">
      <formula>$B$16&lt;1</formula>
    </cfRule>
  </conditionalFormatting>
  <conditionalFormatting sqref="H18">
    <cfRule type="expression" dxfId="12" priority="13" stopIfTrue="1">
      <formula>$B$16&lt;1</formula>
    </cfRule>
  </conditionalFormatting>
  <conditionalFormatting sqref="B31 B23">
    <cfRule type="expression" dxfId="11" priority="12" stopIfTrue="1">
      <formula>$B$16&lt;6</formula>
    </cfRule>
  </conditionalFormatting>
  <conditionalFormatting sqref="B32 B24 H24">
    <cfRule type="expression" dxfId="10" priority="11" stopIfTrue="1">
      <formula>$B$16&lt;7</formula>
    </cfRule>
  </conditionalFormatting>
  <conditionalFormatting sqref="B30 B22">
    <cfRule type="expression" dxfId="9" priority="10" stopIfTrue="1">
      <formula>$B$16&lt;5</formula>
    </cfRule>
  </conditionalFormatting>
  <conditionalFormatting sqref="B29 B21">
    <cfRule type="expression" dxfId="8" priority="9" stopIfTrue="1">
      <formula>$B$16&lt;4</formula>
    </cfRule>
  </conditionalFormatting>
  <conditionalFormatting sqref="B28 B20">
    <cfRule type="expression" dxfId="7" priority="8" stopIfTrue="1">
      <formula>$B$16&lt;3</formula>
    </cfRule>
  </conditionalFormatting>
  <conditionalFormatting sqref="B27">
    <cfRule type="expression" dxfId="6" priority="7" stopIfTrue="1">
      <formula>$B$16&lt;2</formula>
    </cfRule>
  </conditionalFormatting>
  <conditionalFormatting sqref="B26 B18">
    <cfRule type="expression" dxfId="5" priority="6" stopIfTrue="1">
      <formula>$B$16&lt;1</formula>
    </cfRule>
  </conditionalFormatting>
  <conditionalFormatting sqref="H23">
    <cfRule type="expression" dxfId="4" priority="5" stopIfTrue="1">
      <formula>$B$16&lt;6</formula>
    </cfRule>
  </conditionalFormatting>
  <conditionalFormatting sqref="H22">
    <cfRule type="expression" dxfId="3" priority="4" stopIfTrue="1">
      <formula>$B$16&lt;5</formula>
    </cfRule>
  </conditionalFormatting>
  <conditionalFormatting sqref="H21">
    <cfRule type="expression" dxfId="2" priority="3" stopIfTrue="1">
      <formula>$B$16&lt;4</formula>
    </cfRule>
  </conditionalFormatting>
  <conditionalFormatting sqref="H20">
    <cfRule type="expression" dxfId="1" priority="2" stopIfTrue="1">
      <formula>$B$16&lt;3</formula>
    </cfRule>
  </conditionalFormatting>
  <conditionalFormatting sqref="H19">
    <cfRule type="expression" dxfId="0" priority="1" stopIfTrue="1">
      <formula>$B$16&lt;2</formula>
    </cfRule>
  </conditionalFormatting>
  <dataValidations count="1">
    <dataValidation type="decimal" showErrorMessage="1" errorTitle="Meaningless Leg 1 angle" error="Leg 1 angle should be between 90 and -90 degrees. PLease see RP note for the description of this angle." sqref="F18">
      <formula1>-90</formula1>
      <formula2>90</formula2>
    </dataValidation>
  </dataValidations>
  <printOptions headings="1" gridLinesSet="0"/>
  <pageMargins left="0.75" right="0.75" top="1" bottom="1" header="0.5" footer="0.5"/>
  <pageSetup scale="71" orientation="portrait" r:id="rId1"/>
  <headerFooter alignWithMargins="0">
    <oddHeader>&amp;F</oddHeader>
    <oddFooter>Page &amp;P</oddFooter>
  </headerFooter>
  <rowBreaks count="1" manualBreakCount="1">
    <brk id="32" max="16383" man="1"/>
  </rowBreaks>
  <drawing r:id="rId2"/>
  <legacyDrawing r:id="rId3"/>
  <oleObjects>
    <mc:AlternateContent xmlns:mc="http://schemas.openxmlformats.org/markup-compatibility/2006">
      <mc:Choice Requires="x14">
        <oleObject progId="SmartDraw.2" shapeId="2049" r:id="rId4">
          <objectPr defaultSize="0" autoPict="0" r:id="rId5">
            <anchor moveWithCells="1">
              <from>
                <xdr:col>4</xdr:col>
                <xdr:colOff>742950</xdr:colOff>
                <xdr:row>6</xdr:row>
                <xdr:rowOff>66675</xdr:rowOff>
              </from>
              <to>
                <xdr:col>7</xdr:col>
                <xdr:colOff>428625</xdr:colOff>
                <xdr:row>13</xdr:row>
                <xdr:rowOff>38100</xdr:rowOff>
              </to>
            </anchor>
          </objectPr>
        </oleObject>
      </mc:Choice>
      <mc:Fallback>
        <oleObject progId="SmartDraw.2" shapeId="2049"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documentManagement/>
</p:properties>
</file>

<file path=customXml/item5.xml><?xml version="1.0" encoding="utf-8"?>
<ct:contentTypeSchema xmlns:ct="http://schemas.microsoft.com/office/2006/metadata/contentType" xmlns:ma="http://schemas.microsoft.com/office/2006/metadata/properties/metaAttributes" ct:_="" ma:_="" ma:contentTypeName="Document" ma:contentTypeID="0x010100BB279AFF8D978142B61CD919091B2456" ma:contentTypeVersion="0" ma:contentTypeDescription="Create a new document." ma:contentTypeScope="" ma:versionID="c8e1c8fc18b88d70b934d85b43e033c7">
  <xsd:schema xmlns:xsd="http://www.w3.org/2001/XMLSchema" xmlns:xs="http://www.w3.org/2001/XMLSchema" xmlns:p="http://schemas.microsoft.com/office/2006/metadata/properties" xmlns:ns2="583c01c2-bb34-43d4-8d46-a1d86a7b6574" targetNamespace="http://schemas.microsoft.com/office/2006/metadata/properties" ma:root="true" ma:fieldsID="afc8e0f7bebe9fca0bf939090909636e" ns2:_="">
    <xsd:import namespace="583c01c2-bb34-43d4-8d46-a1d86a7b6574"/>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3c01c2-bb34-43d4-8d46-a1d86a7b657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88B6CCB-6C3B-4F40-A6F2-9D8CEC936193}">
  <ds:schemaRefs>
    <ds:schemaRef ds:uri="http://schemas.microsoft.com/sharepoint/events"/>
  </ds:schemaRefs>
</ds:datastoreItem>
</file>

<file path=customXml/itemProps2.xml><?xml version="1.0" encoding="utf-8"?>
<ds:datastoreItem xmlns:ds="http://schemas.openxmlformats.org/officeDocument/2006/customXml" ds:itemID="{F78B3C58-CCDD-484F-A8E8-9C4D71CF52E8}">
  <ds:schemaRefs>
    <ds:schemaRef ds:uri="http://schemas.microsoft.com/sharepoint/v3/contenttype/forms"/>
  </ds:schemaRefs>
</ds:datastoreItem>
</file>

<file path=customXml/itemProps3.xml><?xml version="1.0" encoding="utf-8"?>
<ds:datastoreItem xmlns:ds="http://schemas.openxmlformats.org/officeDocument/2006/customXml" ds:itemID="{6C4BC156-EF64-44BE-89AA-1EB5CCC71D97}">
  <ds:schemaRefs>
    <ds:schemaRef ds:uri="http://schemas.microsoft.com/office/2006/metadata/longProperties"/>
  </ds:schemaRefs>
</ds:datastoreItem>
</file>

<file path=customXml/itemProps4.xml><?xml version="1.0" encoding="utf-8"?>
<ds:datastoreItem xmlns:ds="http://schemas.openxmlformats.org/officeDocument/2006/customXml" ds:itemID="{8472C5DB-582F-4651-933F-62DF94A7061B}">
  <ds:schemaRefs>
    <ds:schemaRef ds:uri="http://purl.org/dc/elements/1.1/"/>
    <ds:schemaRef ds:uri="http://www.w3.org/XML/1998/namespace"/>
    <ds:schemaRef ds:uri="http://purl.org/dc/terms/"/>
    <ds:schemaRef ds:uri="583c01c2-bb34-43d4-8d46-a1d86a7b6574"/>
    <ds:schemaRef ds:uri="http://schemas.microsoft.com/office/infopath/2007/PartnerControls"/>
    <ds:schemaRef ds:uri="http://schemas.microsoft.com/office/2006/metadata/properties"/>
    <ds:schemaRef ds:uri="http://schemas.microsoft.com/office/2006/documentManagement/types"/>
    <ds:schemaRef ds:uri="http://schemas.openxmlformats.org/package/2006/metadata/core-properties"/>
    <ds:schemaRef ds:uri="http://purl.org/dc/dcmitype/"/>
  </ds:schemaRefs>
</ds:datastoreItem>
</file>

<file path=customXml/itemProps5.xml><?xml version="1.0" encoding="utf-8"?>
<ds:datastoreItem xmlns:ds="http://schemas.openxmlformats.org/officeDocument/2006/customXml" ds:itemID="{BF853CFC-AC8B-470E-8B6C-5208B66DC2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3c01c2-bb34-43d4-8d46-a1d86a7b65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71</vt:i4>
      </vt:variant>
    </vt:vector>
  </HeadingPairs>
  <TitlesOfParts>
    <vt:vector size="72" baseType="lpstr">
      <vt:lpstr>Section C-6 penetrations</vt:lpstr>
      <vt:lpstr>'Section C-6 penetrations'!_d</vt:lpstr>
      <vt:lpstr>'Section C-6 penetrations'!_Ho</vt:lpstr>
      <vt:lpstr>'Section C-6 penetrations'!_J</vt:lpstr>
      <vt:lpstr>'Section C-6 penetrations'!_K</vt:lpstr>
      <vt:lpstr>'Section C-6 penetrations'!_L1</vt:lpstr>
      <vt:lpstr>'Section C-6 penetrations'!_L2</vt:lpstr>
      <vt:lpstr>'Section C-6 penetrations'!_L3</vt:lpstr>
      <vt:lpstr>'Section C-6 penetrations'!_L4</vt:lpstr>
      <vt:lpstr>'Section C-6 penetrations'!_L5</vt:lpstr>
      <vt:lpstr>'Section C-6 penetrations'!_L6</vt:lpstr>
      <vt:lpstr>'Section C-6 penetrations'!_L7</vt:lpstr>
      <vt:lpstr>'Section C-6 penetrations'!_R</vt:lpstr>
      <vt:lpstr>'Section C-6 penetrations'!_r1</vt:lpstr>
      <vt:lpstr>'Section C-6 penetrations'!_r2</vt:lpstr>
      <vt:lpstr>'Section C-6 penetrations'!_r3</vt:lpstr>
      <vt:lpstr>'Section C-6 penetrations'!A_F1</vt:lpstr>
      <vt:lpstr>'Section C-6 penetrations'!A_F2</vt:lpstr>
      <vt:lpstr>'Section C-6 penetrations'!A_F3</vt:lpstr>
      <vt:lpstr>'Section C-6 penetrations'!A_F4</vt:lpstr>
      <vt:lpstr>'Section C-6 penetrations'!A_F5</vt:lpstr>
      <vt:lpstr>'Section C-6 penetrations'!A_F6</vt:lpstr>
      <vt:lpstr>'Section C-6 penetrations'!A_F7</vt:lpstr>
      <vt:lpstr>'Section C-6 penetrations'!A_Fs1</vt:lpstr>
      <vt:lpstr>'Section C-6 penetrations'!A_Fs2</vt:lpstr>
      <vt:lpstr>'Section C-6 penetrations'!A_Fs3</vt:lpstr>
      <vt:lpstr>'Section C-6 penetrations'!A_Fs4</vt:lpstr>
      <vt:lpstr>'Section C-6 penetrations'!A_Fs5</vt:lpstr>
      <vt:lpstr>'Section C-6 penetrations'!A_Fs6</vt:lpstr>
      <vt:lpstr>'Section C-6 penetrations'!A_Fs7</vt:lpstr>
      <vt:lpstr>'Section C-6 penetrations'!AT_1</vt:lpstr>
      <vt:lpstr>'Section C-6 penetrations'!AT_2</vt:lpstr>
      <vt:lpstr>'Section C-6 penetrations'!AT_3</vt:lpstr>
      <vt:lpstr>'Section C-6 penetrations'!AT_4</vt:lpstr>
      <vt:lpstr>'Section C-6 penetrations'!AT_5</vt:lpstr>
      <vt:lpstr>'Section C-6 penetrations'!AT_6</vt:lpstr>
      <vt:lpstr>'Section C-6 penetrations'!AT_7</vt:lpstr>
      <vt:lpstr>'Section C-6 penetrations'!co_L1</vt:lpstr>
      <vt:lpstr>'Section C-6 penetrations'!co_L2</vt:lpstr>
      <vt:lpstr>'Section C-6 penetrations'!co_L3</vt:lpstr>
      <vt:lpstr>'Section C-6 penetrations'!co_L4</vt:lpstr>
      <vt:lpstr>'Section C-6 penetrations'!co_L5</vt:lpstr>
      <vt:lpstr>'Section C-6 penetrations'!co_L6</vt:lpstr>
      <vt:lpstr>'Section C-6 penetrations'!co_L7</vt:lpstr>
      <vt:lpstr>'Section C-6 penetrations'!Ep</vt:lpstr>
      <vt:lpstr>'Section C-6 penetrations'!fp</vt:lpstr>
      <vt:lpstr>'Section C-6 penetrations'!Leg_1_area</vt:lpstr>
      <vt:lpstr>'Section C-6 penetrations'!Leg_1_length</vt:lpstr>
      <vt:lpstr>'Section C-6 penetrations'!Leg_2_area</vt:lpstr>
      <vt:lpstr>'Section C-6 penetrations'!Leg_2_length</vt:lpstr>
      <vt:lpstr>'Section C-6 penetrations'!Leg_3_area</vt:lpstr>
      <vt:lpstr>'Section C-6 penetrations'!Leg_3_length</vt:lpstr>
      <vt:lpstr>'Section C-6 penetrations'!Leg_4_area</vt:lpstr>
      <vt:lpstr>'Section C-6 penetrations'!Leg_4_length</vt:lpstr>
      <vt:lpstr>'Section C-6 penetrations'!Leg_5_area</vt:lpstr>
      <vt:lpstr>'Section C-6 penetrations'!Leg_5_length</vt:lpstr>
      <vt:lpstr>'Section C-6 penetrations'!Leg_6_area</vt:lpstr>
      <vt:lpstr>'Section C-6 penetrations'!Leg_6_length</vt:lpstr>
      <vt:lpstr>'Section C-6 penetrations'!Leg_7_area</vt:lpstr>
      <vt:lpstr>'Section C-6 penetrations'!Leg_7_length</vt:lpstr>
      <vt:lpstr>'Section C-6 penetrations'!Np</vt:lpstr>
      <vt:lpstr>'Section C-6 penetrations'!Number_of_Legs</vt:lpstr>
      <vt:lpstr>'Section C-6 penetrations'!ro</vt:lpstr>
      <vt:lpstr>'Section C-6 penetrations'!Sullivan_Corr.</vt:lpstr>
      <vt:lpstr>'Section C-6 penetrations'!Th_1</vt:lpstr>
      <vt:lpstr>'Section C-6 penetrations'!Th_2</vt:lpstr>
      <vt:lpstr>'Section C-6 penetrations'!Th_3</vt:lpstr>
      <vt:lpstr>'Section C-6 penetrations'!Th_4</vt:lpstr>
      <vt:lpstr>'Section C-6 penetrations'!Th_5</vt:lpstr>
      <vt:lpstr>'Section C-6 penetrations'!Th_6</vt:lpstr>
      <vt:lpstr>'Section C-6 penetrations'!Th_7</vt:lpstr>
      <vt:lpstr>'Section C-6 penetrations'!Th_s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Anthony F. Leveling x4041 03438N</dc:creator>
  <cp:lastModifiedBy>Anthony F. Leveling x4041 03438N</cp:lastModifiedBy>
  <cp:lastPrinted>2012-11-20T13:31:00Z</cp:lastPrinted>
  <dcterms:created xsi:type="dcterms:W3CDTF">2002-07-03T16:36:47Z</dcterms:created>
  <dcterms:modified xsi:type="dcterms:W3CDTF">2014-02-14T13:05:45Z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XVAUSEEP6CS4-8-1062</vt:lpwstr>
  </property>
  <property fmtid="{D5CDD505-2E9C-101B-9397-08002B2CF9AE}" pid="3" name="_dlc_DocIdItemGuid">
    <vt:lpwstr>96970283-76af-42eb-bfa7-4b54686ccf47</vt:lpwstr>
  </property>
  <property fmtid="{D5CDD505-2E9C-101B-9397-08002B2CF9AE}" pid="4" name="_dlc_DocIdUrl">
    <vt:lpwstr>https://sharepoint.fnal.gov/esh/sites/sa/aur/_layouts/DocIdRedir.aspx?ID=XVAUSEEP6CS4-8-1062, XVAUSEEP6CS4-8-1062</vt:lpwstr>
  </property>
  <property fmtid="{D5CDD505-2E9C-101B-9397-08002B2CF9AE}" pid="5" name="display_urn:schemas-microsoft-com:office:office#Editor">
    <vt:lpwstr>John E Anderson Jr.</vt:lpwstr>
  </property>
  <property fmtid="{D5CDD505-2E9C-101B-9397-08002B2CF9AE}" pid="6" name="xd_Signature">
    <vt:lpwstr/>
  </property>
  <property fmtid="{D5CDD505-2E9C-101B-9397-08002B2CF9AE}" pid="7" name="TemplateUrl">
    <vt:lpwstr/>
  </property>
  <property fmtid="{D5CDD505-2E9C-101B-9397-08002B2CF9AE}" pid="8" name="xd_ProgID">
    <vt:lpwstr/>
  </property>
  <property fmtid="{D5CDD505-2E9C-101B-9397-08002B2CF9AE}" pid="9" name="_dlc_DocIdPersistId">
    <vt:lpwstr/>
  </property>
  <property fmtid="{D5CDD505-2E9C-101B-9397-08002B2CF9AE}" pid="10" name="display_urn:schemas-microsoft-com:office:office#Author">
    <vt:lpwstr>John E Anderson Jr.</vt:lpwstr>
  </property>
  <property fmtid="{D5CDD505-2E9C-101B-9397-08002B2CF9AE}" pid="11" name="ContentTypeId">
    <vt:lpwstr>0x0101004174A8444FA12948BC691D234D87B59B</vt:lpwstr>
  </property>
  <property fmtid="{D5CDD505-2E9C-101B-9397-08002B2CF9AE}" pid="12" name="_SourceUrl">
    <vt:lpwstr/>
  </property>
</Properties>
</file>