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aia\OneDrive - Fermi National Accelerator Laboratory\CM Monthly\"/>
    </mc:Choice>
  </mc:AlternateContent>
  <xr:revisionPtr revIDLastSave="252" documentId="8_{9A48F7B0-AD28-41D6-9230-16760B2A6A25}" xr6:coauthVersionLast="43" xr6:coauthVersionMax="43" xr10:uidLastSave="{2037CEA9-769A-4667-8507-033EF4CA232F}"/>
  <bookViews>
    <workbookView xWindow="300" yWindow="30" windowWidth="26970" windowHeight="15150" xr2:uid="{00000000-000D-0000-FFFF-FFFF00000000}"/>
  </bookViews>
  <sheets>
    <sheet name="Rollup - May23 2019" sheetId="25" r:id="rId1"/>
    <sheet name="April 22 2019" sheetId="2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5" i="26" l="1"/>
  <c r="I35" i="26"/>
  <c r="H35" i="26"/>
  <c r="G35" i="26"/>
  <c r="F35" i="26"/>
  <c r="E35" i="26"/>
  <c r="J35" i="25"/>
  <c r="I35" i="25"/>
  <c r="H35" i="25"/>
  <c r="G35" i="25"/>
  <c r="F35" i="25"/>
  <c r="E35" i="25"/>
  <c r="D16" i="25" l="1"/>
  <c r="E16" i="25"/>
  <c r="F16" i="25"/>
  <c r="G16" i="25"/>
  <c r="H16" i="25"/>
  <c r="I16" i="25"/>
  <c r="J16" i="25"/>
  <c r="K16" i="25"/>
  <c r="L16" i="25"/>
  <c r="C16" i="25"/>
  <c r="E4" i="25" l="1"/>
  <c r="J38" i="26" l="1"/>
  <c r="J47" i="26" s="1"/>
  <c r="L47" i="26"/>
  <c r="D47" i="26"/>
  <c r="B39" i="26"/>
  <c r="L38" i="26"/>
  <c r="K38" i="26"/>
  <c r="K47" i="26" s="1"/>
  <c r="H38" i="26"/>
  <c r="H47" i="26" s="1"/>
  <c r="F38" i="26"/>
  <c r="D38" i="26"/>
  <c r="B38" i="26"/>
  <c r="M37" i="26"/>
  <c r="M36" i="26"/>
  <c r="I38" i="26"/>
  <c r="G38" i="26"/>
  <c r="E38" i="26"/>
  <c r="D35" i="26"/>
  <c r="C35" i="26"/>
  <c r="C38" i="26" s="1"/>
  <c r="B35" i="26"/>
  <c r="L30" i="26"/>
  <c r="K30" i="26"/>
  <c r="J30" i="26"/>
  <c r="I30" i="26"/>
  <c r="H30" i="26"/>
  <c r="G30" i="26"/>
  <c r="F30" i="26"/>
  <c r="E30" i="26"/>
  <c r="D30" i="26"/>
  <c r="C30" i="26"/>
  <c r="B30" i="26"/>
  <c r="M30" i="26" s="1"/>
  <c r="K29" i="26"/>
  <c r="J29" i="26"/>
  <c r="I29" i="26"/>
  <c r="H29" i="26"/>
  <c r="G29" i="26"/>
  <c r="K24" i="26"/>
  <c r="G24" i="26"/>
  <c r="C24" i="26"/>
  <c r="Q20" i="26"/>
  <c r="Q23" i="26" s="1"/>
  <c r="M20" i="26"/>
  <c r="K19" i="26"/>
  <c r="J19" i="26"/>
  <c r="I19" i="26"/>
  <c r="H19" i="26"/>
  <c r="G19" i="26"/>
  <c r="F19" i="26"/>
  <c r="E19" i="26"/>
  <c r="D19" i="26"/>
  <c r="C19" i="26"/>
  <c r="B19" i="26"/>
  <c r="B18" i="26"/>
  <c r="B26" i="26" s="1"/>
  <c r="M17" i="26"/>
  <c r="M29" i="26" s="1"/>
  <c r="J16" i="26"/>
  <c r="J18" i="26" s="1"/>
  <c r="F16" i="26"/>
  <c r="F18" i="26" s="1"/>
  <c r="M15" i="26"/>
  <c r="L15" i="26"/>
  <c r="L14" i="26"/>
  <c r="M14" i="26" s="1"/>
  <c r="M13" i="26"/>
  <c r="J12" i="26"/>
  <c r="F12" i="26"/>
  <c r="B12" i="26"/>
  <c r="M11" i="26"/>
  <c r="M10" i="26"/>
  <c r="N17" i="26" s="1"/>
  <c r="L9" i="26"/>
  <c r="L16" i="26" s="1"/>
  <c r="L18" i="26" s="1"/>
  <c r="L21" i="26" s="1"/>
  <c r="K9" i="26"/>
  <c r="J9" i="26"/>
  <c r="I9" i="26"/>
  <c r="I16" i="26" s="1"/>
  <c r="I18" i="26" s="1"/>
  <c r="H9" i="26"/>
  <c r="G9" i="26"/>
  <c r="F9" i="26"/>
  <c r="F24" i="26" s="1"/>
  <c r="E9" i="26"/>
  <c r="E16" i="26" s="1"/>
  <c r="E18" i="26" s="1"/>
  <c r="D9" i="26"/>
  <c r="C9" i="26"/>
  <c r="B9" i="26"/>
  <c r="B27" i="26" s="1"/>
  <c r="M8" i="26"/>
  <c r="M7" i="26"/>
  <c r="Q6" i="26" s="1"/>
  <c r="M6" i="26"/>
  <c r="Q5" i="26"/>
  <c r="M5" i="26"/>
  <c r="M4" i="26"/>
  <c r="M3" i="26"/>
  <c r="Q2" i="26"/>
  <c r="Q4" i="26" s="1"/>
  <c r="M2" i="26"/>
  <c r="M9" i="26" s="1"/>
  <c r="M35" i="26" l="1"/>
  <c r="M24" i="26" s="1"/>
  <c r="J24" i="26"/>
  <c r="B31" i="26"/>
  <c r="J26" i="26"/>
  <c r="J21" i="26"/>
  <c r="J22" i="26" s="1"/>
  <c r="M38" i="26"/>
  <c r="F26" i="26"/>
  <c r="F21" i="26"/>
  <c r="F22" i="26" s="1"/>
  <c r="G47" i="26"/>
  <c r="L22" i="26"/>
  <c r="E47" i="26"/>
  <c r="I47" i="26"/>
  <c r="C47" i="26"/>
  <c r="E26" i="26"/>
  <c r="E21" i="26"/>
  <c r="I26" i="26"/>
  <c r="I21" i="26"/>
  <c r="J46" i="26"/>
  <c r="C12" i="26"/>
  <c r="G12" i="26"/>
  <c r="K12" i="26"/>
  <c r="C16" i="26"/>
  <c r="G16" i="26"/>
  <c r="G18" i="26" s="1"/>
  <c r="K16" i="26"/>
  <c r="K18" i="26" s="1"/>
  <c r="D24" i="26"/>
  <c r="H24" i="26"/>
  <c r="J27" i="26"/>
  <c r="J31" i="26" s="1"/>
  <c r="D12" i="26"/>
  <c r="H12" i="26"/>
  <c r="L12" i="26"/>
  <c r="L46" i="26" s="1"/>
  <c r="D16" i="26"/>
  <c r="D18" i="26" s="1"/>
  <c r="H16" i="26"/>
  <c r="H18" i="26" s="1"/>
  <c r="B21" i="26"/>
  <c r="E24" i="26"/>
  <c r="I24" i="26"/>
  <c r="B46" i="26"/>
  <c r="B47" i="26"/>
  <c r="F47" i="26"/>
  <c r="E12" i="26"/>
  <c r="E46" i="26" s="1"/>
  <c r="I12" i="26"/>
  <c r="I46" i="26" s="1"/>
  <c r="D26" i="26" l="1"/>
  <c r="D21" i="26"/>
  <c r="G26" i="26"/>
  <c r="G21" i="26"/>
  <c r="E22" i="26"/>
  <c r="E27" i="26"/>
  <c r="E31" i="26" s="1"/>
  <c r="C18" i="26"/>
  <c r="M16" i="26"/>
  <c r="B52" i="26"/>
  <c r="C52" i="26" s="1"/>
  <c r="D52" i="26" s="1"/>
  <c r="E52" i="26" s="1"/>
  <c r="F52" i="26" s="1"/>
  <c r="G52" i="26" s="1"/>
  <c r="H52" i="26" s="1"/>
  <c r="I52" i="26" s="1"/>
  <c r="J52" i="26" s="1"/>
  <c r="K52" i="26" s="1"/>
  <c r="L52" i="26" s="1"/>
  <c r="M47" i="26"/>
  <c r="B22" i="26"/>
  <c r="I22" i="26"/>
  <c r="I27" i="26"/>
  <c r="I31" i="26" s="1"/>
  <c r="M12" i="26"/>
  <c r="B51" i="26"/>
  <c r="H21" i="26"/>
  <c r="H26" i="26"/>
  <c r="D46" i="26"/>
  <c r="F27" i="26"/>
  <c r="F31" i="26" s="1"/>
  <c r="K26" i="26"/>
  <c r="K21" i="26"/>
  <c r="K46" i="26" s="1"/>
  <c r="G46" i="26"/>
  <c r="B40" i="26"/>
  <c r="C39" i="26" s="1"/>
  <c r="F46" i="26"/>
  <c r="G22" i="26" l="1"/>
  <c r="G27" i="26"/>
  <c r="G31" i="26" s="1"/>
  <c r="C26" i="26"/>
  <c r="M26" i="26" s="1"/>
  <c r="C21" i="26"/>
  <c r="M18" i="26"/>
  <c r="H22" i="26"/>
  <c r="H27" i="26"/>
  <c r="H31" i="26" s="1"/>
  <c r="H46" i="26"/>
  <c r="D22" i="26"/>
  <c r="D27" i="26"/>
  <c r="D31" i="26" s="1"/>
  <c r="K22" i="26"/>
  <c r="K27" i="26"/>
  <c r="K31" i="26" s="1"/>
  <c r="C22" i="26" l="1"/>
  <c r="C27" i="26"/>
  <c r="C46" i="26"/>
  <c r="M21" i="26"/>
  <c r="C40" i="26"/>
  <c r="D39" i="26" s="1"/>
  <c r="D40" i="26" s="1"/>
  <c r="E39" i="26" s="1"/>
  <c r="E40" i="26" s="1"/>
  <c r="F39" i="26" s="1"/>
  <c r="F40" i="26" s="1"/>
  <c r="G39" i="26" s="1"/>
  <c r="G40" i="26" s="1"/>
  <c r="H39" i="26" s="1"/>
  <c r="H40" i="26" s="1"/>
  <c r="I39" i="26" s="1"/>
  <c r="I40" i="26" s="1"/>
  <c r="J39" i="26" s="1"/>
  <c r="J40" i="26" s="1"/>
  <c r="K39" i="26" s="1"/>
  <c r="K40" i="26" s="1"/>
  <c r="L39" i="26" s="1"/>
  <c r="L40" i="26" s="1"/>
  <c r="M22" i="26" l="1"/>
  <c r="N21" i="26"/>
  <c r="C51" i="26"/>
  <c r="D51" i="26" s="1"/>
  <c r="E51" i="26" s="1"/>
  <c r="F51" i="26" s="1"/>
  <c r="G51" i="26" s="1"/>
  <c r="H51" i="26" s="1"/>
  <c r="I51" i="26" s="1"/>
  <c r="J51" i="26" s="1"/>
  <c r="K51" i="26" s="1"/>
  <c r="L51" i="26" s="1"/>
  <c r="M46" i="26"/>
  <c r="C31" i="26"/>
  <c r="M31" i="26" s="1"/>
  <c r="M27" i="26"/>
  <c r="L47" i="25" l="1"/>
  <c r="K47" i="25"/>
  <c r="C47" i="25"/>
  <c r="B39" i="25"/>
  <c r="L38" i="25"/>
  <c r="K38" i="25"/>
  <c r="J38" i="25"/>
  <c r="J47" i="25" s="1"/>
  <c r="I38" i="25"/>
  <c r="G38" i="25"/>
  <c r="G47" i="25" s="1"/>
  <c r="F38" i="25"/>
  <c r="F47" i="25" s="1"/>
  <c r="E38" i="25"/>
  <c r="C38" i="25"/>
  <c r="B38" i="25"/>
  <c r="B47" i="25" s="1"/>
  <c r="M37" i="25"/>
  <c r="M36" i="25"/>
  <c r="H38" i="25"/>
  <c r="D35" i="25"/>
  <c r="D38" i="25" s="1"/>
  <c r="C35" i="25"/>
  <c r="B35" i="25"/>
  <c r="M35" i="25" s="1"/>
  <c r="L30" i="25"/>
  <c r="K30" i="25"/>
  <c r="J30" i="25"/>
  <c r="I30" i="25"/>
  <c r="H30" i="25"/>
  <c r="G30" i="25"/>
  <c r="F30" i="25"/>
  <c r="E30" i="25"/>
  <c r="D30" i="25"/>
  <c r="C30" i="25"/>
  <c r="B30" i="25"/>
  <c r="K29" i="25"/>
  <c r="J29" i="25"/>
  <c r="I29" i="25"/>
  <c r="H29" i="25"/>
  <c r="G29" i="25"/>
  <c r="Q23" i="25"/>
  <c r="Q20" i="25"/>
  <c r="M20" i="25"/>
  <c r="K19" i="25"/>
  <c r="J19" i="25"/>
  <c r="I19" i="25"/>
  <c r="H19" i="25"/>
  <c r="G19" i="25"/>
  <c r="F19" i="25"/>
  <c r="E19" i="25"/>
  <c r="D19" i="25"/>
  <c r="C19" i="25"/>
  <c r="B19" i="25"/>
  <c r="B18" i="25"/>
  <c r="B26" i="25" s="1"/>
  <c r="M17" i="25"/>
  <c r="L15" i="25"/>
  <c r="M14" i="25"/>
  <c r="M13" i="25"/>
  <c r="M11" i="25"/>
  <c r="M10" i="25"/>
  <c r="L9" i="25"/>
  <c r="K9" i="25"/>
  <c r="J9" i="25"/>
  <c r="I9" i="25"/>
  <c r="H9" i="25"/>
  <c r="G9" i="25"/>
  <c r="F9" i="25"/>
  <c r="E9" i="25"/>
  <c r="D9" i="25"/>
  <c r="C9" i="25"/>
  <c r="B9" i="25"/>
  <c r="B27" i="25" s="1"/>
  <c r="M8" i="25"/>
  <c r="Q5" i="25" s="1"/>
  <c r="M7" i="25"/>
  <c r="M6" i="25"/>
  <c r="M5" i="25"/>
  <c r="M4" i="25"/>
  <c r="M3" i="25"/>
  <c r="M2" i="25"/>
  <c r="M30" i="25" l="1"/>
  <c r="I18" i="25"/>
  <c r="J24" i="25"/>
  <c r="J18" i="25"/>
  <c r="J26" i="25" s="1"/>
  <c r="H18" i="25"/>
  <c r="F24" i="25"/>
  <c r="F18" i="25"/>
  <c r="F26" i="25" s="1"/>
  <c r="D18" i="25"/>
  <c r="E12" i="25"/>
  <c r="E18" i="25"/>
  <c r="E21" i="25" s="1"/>
  <c r="N17" i="25"/>
  <c r="M29" i="25"/>
  <c r="J12" i="25"/>
  <c r="Q6" i="25"/>
  <c r="I12" i="25"/>
  <c r="I24" i="25"/>
  <c r="F12" i="25"/>
  <c r="E24" i="25"/>
  <c r="B12" i="25"/>
  <c r="B31" i="25"/>
  <c r="C24" i="25"/>
  <c r="C12" i="25"/>
  <c r="G18" i="25"/>
  <c r="G12" i="25"/>
  <c r="G24" i="25"/>
  <c r="K24" i="25"/>
  <c r="K18" i="25"/>
  <c r="K12" i="25"/>
  <c r="L18" i="25"/>
  <c r="L21" i="25" s="1"/>
  <c r="M15" i="25"/>
  <c r="D47" i="25"/>
  <c r="M38" i="25"/>
  <c r="H47" i="25"/>
  <c r="B52" i="25"/>
  <c r="C52" i="25" s="1"/>
  <c r="D52" i="25" s="1"/>
  <c r="Q2" i="25"/>
  <c r="Q4" i="25" s="1"/>
  <c r="M9" i="25"/>
  <c r="M24" i="25" s="1"/>
  <c r="D24" i="25"/>
  <c r="H24" i="25"/>
  <c r="E47" i="25"/>
  <c r="I47" i="25"/>
  <c r="D12" i="25"/>
  <c r="H12" i="25"/>
  <c r="L12" i="25"/>
  <c r="B21" i="25"/>
  <c r="M47" i="25" l="1"/>
  <c r="I26" i="25"/>
  <c r="I21" i="25"/>
  <c r="I46" i="25" s="1"/>
  <c r="H26" i="25"/>
  <c r="H21" i="25"/>
  <c r="H22" i="25" s="1"/>
  <c r="E46" i="25"/>
  <c r="D21" i="25"/>
  <c r="D27" i="25" s="1"/>
  <c r="D31" i="25" s="1"/>
  <c r="D26" i="25"/>
  <c r="L22" i="25"/>
  <c r="J21" i="25"/>
  <c r="J22" i="25" s="1"/>
  <c r="E26" i="25"/>
  <c r="F21" i="25"/>
  <c r="F27" i="25" s="1"/>
  <c r="F31" i="25" s="1"/>
  <c r="B46" i="25"/>
  <c r="B51" i="25" s="1"/>
  <c r="K26" i="25"/>
  <c r="K21" i="25"/>
  <c r="C18" i="25"/>
  <c r="M16" i="25"/>
  <c r="L46" i="25"/>
  <c r="E22" i="25"/>
  <c r="E27" i="25"/>
  <c r="B22" i="25"/>
  <c r="B40" i="25"/>
  <c r="C39" i="25" s="1"/>
  <c r="G26" i="25"/>
  <c r="G21" i="25"/>
  <c r="G46" i="25" s="1"/>
  <c r="E52" i="25"/>
  <c r="F52" i="25" s="1"/>
  <c r="G52" i="25" s="1"/>
  <c r="H52" i="25" s="1"/>
  <c r="I52" i="25" s="1"/>
  <c r="J52" i="25" s="1"/>
  <c r="K52" i="25" s="1"/>
  <c r="L52" i="25" s="1"/>
  <c r="M12" i="25"/>
  <c r="E31" i="25" l="1"/>
  <c r="I22" i="25"/>
  <c r="H27" i="25"/>
  <c r="H31" i="25" s="1"/>
  <c r="D22" i="25"/>
  <c r="I27" i="25"/>
  <c r="I31" i="25" s="1"/>
  <c r="H46" i="25"/>
  <c r="D46" i="25"/>
  <c r="J46" i="25"/>
  <c r="J27" i="25"/>
  <c r="J31" i="25" s="1"/>
  <c r="F46" i="25"/>
  <c r="F22" i="25"/>
  <c r="K22" i="25"/>
  <c r="K27" i="25"/>
  <c r="K31" i="25" s="1"/>
  <c r="G22" i="25"/>
  <c r="G27" i="25"/>
  <c r="G31" i="25" s="1"/>
  <c r="K46" i="25"/>
  <c r="C21" i="25"/>
  <c r="C40" i="25" s="1"/>
  <c r="D39" i="25" s="1"/>
  <c r="D40" i="25" s="1"/>
  <c r="E39" i="25" s="1"/>
  <c r="E40" i="25" s="1"/>
  <c r="F39" i="25" s="1"/>
  <c r="F40" i="25" s="1"/>
  <c r="G39" i="25" s="1"/>
  <c r="G40" i="25" s="1"/>
  <c r="H39" i="25" s="1"/>
  <c r="H40" i="25" s="1"/>
  <c r="I39" i="25" s="1"/>
  <c r="I40" i="25" s="1"/>
  <c r="J39" i="25" s="1"/>
  <c r="J40" i="25" s="1"/>
  <c r="K39" i="25" s="1"/>
  <c r="K40" i="25" s="1"/>
  <c r="L39" i="25" s="1"/>
  <c r="L40" i="25" s="1"/>
  <c r="C26" i="25"/>
  <c r="M26" i="25" s="1"/>
  <c r="M18" i="25"/>
  <c r="C22" i="25" l="1"/>
  <c r="C27" i="25"/>
  <c r="M27" i="25" s="1"/>
  <c r="M21" i="25"/>
  <c r="C46" i="25"/>
  <c r="M22" i="25" l="1"/>
  <c r="N21" i="25"/>
  <c r="C51" i="25"/>
  <c r="D51" i="25" s="1"/>
  <c r="E51" i="25" s="1"/>
  <c r="F51" i="25" s="1"/>
  <c r="G51" i="25" s="1"/>
  <c r="H51" i="25" s="1"/>
  <c r="I51" i="25" s="1"/>
  <c r="J51" i="25" s="1"/>
  <c r="K51" i="25" s="1"/>
  <c r="L51" i="25" s="1"/>
  <c r="M46" i="25"/>
  <c r="C31" i="25"/>
  <c r="M31" i="25" s="1"/>
</calcChain>
</file>

<file path=xl/sharedStrings.xml><?xml version="1.0" encoding="utf-8"?>
<sst xmlns="http://schemas.openxmlformats.org/spreadsheetml/2006/main" count="160" uniqueCount="53">
  <si>
    <t>WBS</t>
  </si>
  <si>
    <t>FY17</t>
  </si>
  <si>
    <t xml:space="preserve">FY18 </t>
  </si>
  <si>
    <t>FY19</t>
  </si>
  <si>
    <t>FY20</t>
  </si>
  <si>
    <t>FY21</t>
  </si>
  <si>
    <t>FY22</t>
  </si>
  <si>
    <t>FY23</t>
  </si>
  <si>
    <t>FY24</t>
  </si>
  <si>
    <t>Total</t>
  </si>
  <si>
    <t>FY25</t>
  </si>
  <si>
    <t>FY26</t>
  </si>
  <si>
    <t>Balance/Carryover</t>
  </si>
  <si>
    <t xml:space="preserve">Guidance + Carryover </t>
  </si>
  <si>
    <t>Fractional Cont.</t>
  </si>
  <si>
    <t>Cont.</t>
  </si>
  <si>
    <t>Difference</t>
  </si>
  <si>
    <t>TOTAL Deliverables + I&amp;C</t>
  </si>
  <si>
    <t>TOTAL I&amp;C</t>
  </si>
  <si>
    <t>Fractional Cont. I&amp;C</t>
  </si>
  <si>
    <t xml:space="preserve">current exchange </t>
  </si>
  <si>
    <t>TOTAL Base Cost</t>
  </si>
  <si>
    <t>Subtotal Base Cost: Deliverables + PO</t>
  </si>
  <si>
    <t>I&amp;C cont</t>
  </si>
  <si>
    <t>Fractional Subproject Cont.</t>
  </si>
  <si>
    <t>TPC</t>
  </si>
  <si>
    <t>Additional Funding to Cover I&amp;C</t>
  </si>
  <si>
    <t>FC</t>
  </si>
  <si>
    <t>TOTAL Proposed Funding</t>
  </si>
  <si>
    <t>Recently Negotiated Core not in RLS</t>
  </si>
  <si>
    <t>Fractional Total Cont</t>
  </si>
  <si>
    <t>402.2 OT</t>
  </si>
  <si>
    <t>402.4 EC</t>
  </si>
  <si>
    <t>402.6 Trigger/DAQ</t>
  </si>
  <si>
    <t>402.8 MTD</t>
  </si>
  <si>
    <t>402.N Installation &amp; Commissioning</t>
  </si>
  <si>
    <t>402.1 Project Office</t>
  </si>
  <si>
    <t>402.1 Common Costs</t>
  </si>
  <si>
    <t>DOE Guidance February 2018</t>
  </si>
  <si>
    <t>GRAND TOTAL CONTINGENCY</t>
  </si>
  <si>
    <t>FY27</t>
  </si>
  <si>
    <t>Risk Contingency</t>
  </si>
  <si>
    <t>Sum of Above 4</t>
  </si>
  <si>
    <t>Additional Funding Needed</t>
  </si>
  <si>
    <t>TOTAL Base Deliverables</t>
  </si>
  <si>
    <t>Common and Core cont</t>
  </si>
  <si>
    <t>Fiscal Year</t>
  </si>
  <si>
    <t>Subprojects contingency</t>
  </si>
  <si>
    <t>PO + Common &amp; Core contingency</t>
  </si>
  <si>
    <t>For plotting</t>
  </si>
  <si>
    <t>DOE post CD-1 Funding Integral</t>
  </si>
  <si>
    <t>402.3 BC (moved costs to PO FY17)</t>
  </si>
  <si>
    <t>(total calculated for I&amp;C)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</si>
</sst>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_);\(0.00\)"/>
    <numFmt numFmtId="166" formatCode="#,##0.0000_);\(#,##0.0000\)"/>
    <numFmt numFmtId="167" formatCode="&quot;$&quot;#,##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4FF99"/>
        <bgColor indexed="64"/>
      </patternFill>
    </fill>
    <fill>
      <patternFill patternType="solid">
        <fgColor rgb="FF94FF99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3" fillId="0" borderId="0" xfId="0" applyFont="1"/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/>
    <xf numFmtId="165" fontId="3" fillId="0" borderId="0" xfId="1" applyNumberFormat="1" applyFont="1" applyAlignment="1"/>
    <xf numFmtId="0" fontId="0" fillId="0" borderId="0" xfId="0" applyFont="1"/>
    <xf numFmtId="164" fontId="1" fillId="0" borderId="0" xfId="1" applyNumberFormat="1" applyFont="1" applyAlignment="1"/>
    <xf numFmtId="165" fontId="1" fillId="0" borderId="0" xfId="1" applyNumberFormat="1" applyFont="1" applyAlignment="1"/>
    <xf numFmtId="164" fontId="3" fillId="0" borderId="0" xfId="0" applyNumberFormat="1" applyFont="1"/>
    <xf numFmtId="164" fontId="0" fillId="0" borderId="0" xfId="0" applyNumberFormat="1" applyFont="1"/>
    <xf numFmtId="39" fontId="3" fillId="0" borderId="0" xfId="1" applyNumberFormat="1" applyFont="1" applyAlignment="1"/>
    <xf numFmtId="166" fontId="3" fillId="0" borderId="0" xfId="0" applyNumberFormat="1" applyFont="1"/>
    <xf numFmtId="166" fontId="0" fillId="0" borderId="0" xfId="0" applyNumberFormat="1" applyFont="1"/>
    <xf numFmtId="43" fontId="1" fillId="0" borderId="0" xfId="1" applyNumberFormat="1" applyFont="1" applyAlignment="1"/>
    <xf numFmtId="0" fontId="3" fillId="2" borderId="0" xfId="0" applyFont="1" applyFill="1"/>
    <xf numFmtId="0" fontId="0" fillId="2" borderId="0" xfId="0" applyFill="1"/>
    <xf numFmtId="0" fontId="3" fillId="2" borderId="1" xfId="0" applyFont="1" applyFill="1" applyBorder="1"/>
    <xf numFmtId="164" fontId="3" fillId="2" borderId="1" xfId="1" applyNumberFormat="1" applyFont="1" applyFill="1" applyBorder="1" applyAlignment="1"/>
    <xf numFmtId="164" fontId="3" fillId="2" borderId="1" xfId="0" applyNumberFormat="1" applyFont="1" applyFill="1" applyBorder="1"/>
    <xf numFmtId="0" fontId="0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/>
    <xf numFmtId="39" fontId="3" fillId="4" borderId="1" xfId="1" applyNumberFormat="1" applyFont="1" applyFill="1" applyBorder="1" applyAlignment="1"/>
    <xf numFmtId="164" fontId="3" fillId="4" borderId="1" xfId="0" applyNumberFormat="1" applyFont="1" applyFill="1" applyBorder="1"/>
    <xf numFmtId="164" fontId="4" fillId="2" borderId="0" xfId="1" applyNumberFormat="1" applyFont="1" applyFill="1" applyAlignment="1"/>
    <xf numFmtId="164" fontId="4" fillId="2" borderId="0" xfId="1" applyNumberFormat="1" applyFont="1" applyFill="1"/>
    <xf numFmtId="0" fontId="8" fillId="3" borderId="1" xfId="0" applyFont="1" applyFill="1" applyBorder="1"/>
    <xf numFmtId="164" fontId="4" fillId="3" borderId="1" xfId="1" applyNumberFormat="1" applyFont="1" applyFill="1" applyBorder="1" applyAlignment="1"/>
    <xf numFmtId="164" fontId="4" fillId="3" borderId="1" xfId="1" applyNumberFormat="1" applyFont="1" applyFill="1" applyBorder="1"/>
    <xf numFmtId="0" fontId="9" fillId="3" borderId="1" xfId="0" applyFont="1" applyFill="1" applyBorder="1"/>
    <xf numFmtId="167" fontId="0" fillId="0" borderId="0" xfId="0" applyNumberFormat="1"/>
    <xf numFmtId="167" fontId="3" fillId="0" borderId="0" xfId="0" applyNumberFormat="1" applyFont="1"/>
    <xf numFmtId="0" fontId="0" fillId="5" borderId="0" xfId="0" applyFont="1" applyFill="1"/>
    <xf numFmtId="164" fontId="1" fillId="5" borderId="0" xfId="1" applyNumberFormat="1" applyFont="1" applyFill="1" applyAlignment="1"/>
    <xf numFmtId="167" fontId="0" fillId="5" borderId="0" xfId="0" applyNumberFormat="1" applyFill="1"/>
    <xf numFmtId="164" fontId="0" fillId="5" borderId="0" xfId="1" applyNumberFormat="1" applyFont="1" applyFill="1"/>
    <xf numFmtId="164" fontId="0" fillId="5" borderId="0" xfId="0" applyNumberFormat="1" applyFont="1" applyFill="1"/>
    <xf numFmtId="0" fontId="0" fillId="0" borderId="0" xfId="0" applyFont="1" applyFill="1" applyBorder="1"/>
    <xf numFmtId="167" fontId="0" fillId="0" borderId="0" xfId="0" applyNumberFormat="1" applyFont="1"/>
    <xf numFmtId="167" fontId="0" fillId="6" borderId="0" xfId="0" applyNumberFormat="1" applyFill="1"/>
    <xf numFmtId="0" fontId="0" fillId="0" borderId="1" xfId="0" applyFill="1" applyBorder="1"/>
    <xf numFmtId="0" fontId="10" fillId="0" borderId="0" xfId="0" applyFont="1"/>
    <xf numFmtId="164" fontId="11" fillId="0" borderId="0" xfId="0" applyNumberFormat="1" applyFont="1"/>
    <xf numFmtId="0" fontId="11" fillId="0" borderId="0" xfId="0" applyFont="1"/>
    <xf numFmtId="0" fontId="3" fillId="0" borderId="0" xfId="0" applyFont="1" applyAlignment="1">
      <alignment horizontal="right"/>
    </xf>
  </cellXfs>
  <cellStyles count="127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Normal" xfId="0" builtinId="0"/>
    <cellStyle name="Normal 2" xfId="2" xr:uid="{00000000-0005-0000-0000-00007E000000}"/>
  </cellStyles>
  <dxfs count="0"/>
  <tableStyles count="0" defaultTableStyle="TableStyleMedium2" defaultPivotStyle="PivotStyleLight16"/>
  <colors>
    <mruColors>
      <color rgb="FF94FF99"/>
      <color rgb="FF78E5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7F6DF-0D3A-433C-BE86-4CDB83EC99C1}">
  <dimension ref="A1:Q52"/>
  <sheetViews>
    <sheetView tabSelected="1" workbookViewId="0">
      <selection activeCell="N41" sqref="N41"/>
    </sheetView>
  </sheetViews>
  <sheetFormatPr defaultRowHeight="15"/>
  <cols>
    <col min="1" max="1" width="35.85546875" customWidth="1"/>
    <col min="2" max="2" width="14.7109375" customWidth="1"/>
    <col min="3" max="3" width="13.42578125" customWidth="1"/>
    <col min="4" max="5" width="15" customWidth="1"/>
    <col min="6" max="6" width="14.28515625" customWidth="1"/>
    <col min="7" max="7" width="15" customWidth="1"/>
    <col min="8" max="8" width="14.7109375" customWidth="1"/>
    <col min="9" max="9" width="11.7109375" customWidth="1"/>
    <col min="10" max="10" width="13.28515625" customWidth="1"/>
    <col min="11" max="12" width="12.7109375" customWidth="1"/>
    <col min="13" max="13" width="15.85546875" customWidth="1"/>
    <col min="14" max="14" width="15" customWidth="1"/>
    <col min="17" max="17" width="18.140625" customWidth="1"/>
  </cols>
  <sheetData>
    <row r="1" spans="1:17" ht="15.75">
      <c r="A1" s="24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10</v>
      </c>
      <c r="K1" s="25" t="s">
        <v>11</v>
      </c>
      <c r="L1" s="25" t="s">
        <v>40</v>
      </c>
      <c r="M1" s="25" t="s">
        <v>9</v>
      </c>
      <c r="N1" s="24"/>
      <c r="O1" s="24"/>
      <c r="P1" s="24"/>
      <c r="Q1" s="24"/>
    </row>
    <row r="2" spans="1:17">
      <c r="A2" t="s">
        <v>31</v>
      </c>
      <c r="B2" s="35">
        <v>1162745</v>
      </c>
      <c r="C2" s="35">
        <v>3795727.9499999983</v>
      </c>
      <c r="D2" s="35">
        <v>3646923.0100000012</v>
      </c>
      <c r="E2" s="35">
        <v>4843164.0199999949</v>
      </c>
      <c r="F2" s="35">
        <v>4565948.1799999923</v>
      </c>
      <c r="G2" s="35">
        <v>7197055.0800000001</v>
      </c>
      <c r="H2" s="35">
        <v>9740492.5000000075</v>
      </c>
      <c r="I2" s="35">
        <v>4490914.879999998</v>
      </c>
      <c r="J2" s="35">
        <v>432574.41000000003</v>
      </c>
      <c r="K2" s="35"/>
      <c r="L2" s="36"/>
      <c r="M2" s="1">
        <f t="shared" ref="M2:M8" si="0">SUM(B2:L2)</f>
        <v>39875545.029999986</v>
      </c>
      <c r="O2" s="2"/>
      <c r="Q2" s="2">
        <f>SUM(M2:M6)-SUM(B2:B6)</f>
        <v>100350804.22999999</v>
      </c>
    </row>
    <row r="3" spans="1:17">
      <c r="A3" t="s">
        <v>51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1">
        <f t="shared" si="0"/>
        <v>0</v>
      </c>
      <c r="O3" s="2"/>
      <c r="Q3" s="2"/>
    </row>
    <row r="4" spans="1:17">
      <c r="A4" t="s">
        <v>32</v>
      </c>
      <c r="B4" s="35">
        <v>1051524.4000000001</v>
      </c>
      <c r="C4" s="35">
        <v>1046484.6800000002</v>
      </c>
      <c r="D4" s="35">
        <v>4615992.33</v>
      </c>
      <c r="E4" s="35">
        <f>4802569.51+28319</f>
        <v>4830888.51</v>
      </c>
      <c r="F4" s="35">
        <v>8316899.3099999977</v>
      </c>
      <c r="G4" s="35">
        <v>10717098.030000003</v>
      </c>
      <c r="H4" s="35">
        <v>10452798.060000001</v>
      </c>
      <c r="I4" s="35">
        <v>2148657.4600000009</v>
      </c>
      <c r="J4" s="36"/>
      <c r="K4" s="36"/>
      <c r="L4" s="36"/>
      <c r="M4" s="1">
        <f>SUM(B4:L4)</f>
        <v>43180342.780000001</v>
      </c>
      <c r="N4" s="35"/>
      <c r="Q4" s="2">
        <f>Q2*0.4</f>
        <v>40140321.691999994</v>
      </c>
    </row>
    <row r="5" spans="1:17">
      <c r="A5" t="s">
        <v>33</v>
      </c>
      <c r="B5" s="43">
        <v>127639.88000000002</v>
      </c>
      <c r="C5" s="35">
        <v>546624.12999999977</v>
      </c>
      <c r="D5" s="35">
        <v>834473.42000000027</v>
      </c>
      <c r="E5" s="35">
        <v>822069.02000000048</v>
      </c>
      <c r="F5" s="35">
        <v>886015.8899999999</v>
      </c>
      <c r="G5" s="35">
        <v>754838.4700000002</v>
      </c>
      <c r="H5" s="35">
        <v>3176015.5400000052</v>
      </c>
      <c r="I5" s="35">
        <v>5568.34</v>
      </c>
      <c r="J5" s="35">
        <v>688347.11</v>
      </c>
      <c r="K5" s="35">
        <v>257495.31999999998</v>
      </c>
      <c r="L5" s="36"/>
      <c r="M5" s="1">
        <f t="shared" si="0"/>
        <v>8099087.1200000066</v>
      </c>
      <c r="Q5" s="2">
        <f>(M8-B8)*0.25</f>
        <v>2475467.8525</v>
      </c>
    </row>
    <row r="6" spans="1:17">
      <c r="A6" t="s">
        <v>34</v>
      </c>
      <c r="B6" s="36"/>
      <c r="C6" s="35">
        <v>8674</v>
      </c>
      <c r="D6" s="35">
        <v>777088.99999999988</v>
      </c>
      <c r="E6" s="35">
        <v>2044875.9699999995</v>
      </c>
      <c r="F6" s="35">
        <v>4233746</v>
      </c>
      <c r="G6" s="35">
        <v>2282488</v>
      </c>
      <c r="H6" s="35">
        <v>1847913</v>
      </c>
      <c r="I6" s="35">
        <v>342952.60999999993</v>
      </c>
      <c r="J6" s="36"/>
      <c r="K6" s="36"/>
      <c r="L6" s="36"/>
      <c r="M6" s="1">
        <f t="shared" si="0"/>
        <v>11537738.579999998</v>
      </c>
      <c r="Q6" s="2">
        <f>M7*0.1+M11*0.1</f>
        <v>581362.09000000008</v>
      </c>
    </row>
    <row r="7" spans="1:17">
      <c r="A7" t="s">
        <v>37</v>
      </c>
      <c r="B7" s="35"/>
      <c r="C7" s="35"/>
      <c r="D7" s="35"/>
      <c r="E7" s="35">
        <v>2220803</v>
      </c>
      <c r="F7" s="43">
        <v>686007.33</v>
      </c>
      <c r="G7" s="35">
        <v>2209176</v>
      </c>
      <c r="H7" s="43">
        <v>697634.57</v>
      </c>
      <c r="I7" s="35"/>
      <c r="J7" s="35"/>
      <c r="K7" s="35"/>
      <c r="L7" s="35"/>
      <c r="M7" s="1">
        <f t="shared" si="0"/>
        <v>5813620.9000000004</v>
      </c>
    </row>
    <row r="8" spans="1:17">
      <c r="A8" t="s">
        <v>36</v>
      </c>
      <c r="B8" s="35">
        <v>474847</v>
      </c>
      <c r="C8" s="35">
        <v>1028379</v>
      </c>
      <c r="D8" s="35">
        <v>1549302</v>
      </c>
      <c r="E8" s="35">
        <v>1655646.8899999997</v>
      </c>
      <c r="F8" s="35">
        <v>1328754.9900000002</v>
      </c>
      <c r="G8" s="35">
        <v>1370372.9499999997</v>
      </c>
      <c r="H8" s="35">
        <v>1089428.58</v>
      </c>
      <c r="I8" s="35">
        <v>1020233</v>
      </c>
      <c r="J8" s="35">
        <v>737058</v>
      </c>
      <c r="K8" s="35">
        <v>96690</v>
      </c>
      <c r="L8" s="35">
        <v>26006</v>
      </c>
      <c r="M8" s="1">
        <f t="shared" si="0"/>
        <v>10376718.41</v>
      </c>
    </row>
    <row r="9" spans="1:17">
      <c r="A9" s="20" t="s">
        <v>22</v>
      </c>
      <c r="B9" s="21">
        <f t="shared" ref="B9:M9" si="1">SUM(B2:B8)</f>
        <v>2816756.2800000003</v>
      </c>
      <c r="C9" s="21">
        <f t="shared" si="1"/>
        <v>6425889.7599999988</v>
      </c>
      <c r="D9" s="21">
        <f t="shared" si="1"/>
        <v>11423779.760000002</v>
      </c>
      <c r="E9" s="21">
        <f t="shared" si="1"/>
        <v>16417447.409999993</v>
      </c>
      <c r="F9" s="21">
        <f t="shared" si="1"/>
        <v>20017371.699999988</v>
      </c>
      <c r="G9" s="21">
        <f t="shared" si="1"/>
        <v>24531028.530000001</v>
      </c>
      <c r="H9" s="21">
        <f t="shared" si="1"/>
        <v>27004282.250000015</v>
      </c>
      <c r="I9" s="21">
        <f t="shared" si="1"/>
        <v>8008326.2899999991</v>
      </c>
      <c r="J9" s="21">
        <f t="shared" si="1"/>
        <v>1857979.52</v>
      </c>
      <c r="K9" s="21">
        <f t="shared" si="1"/>
        <v>354185.31999999995</v>
      </c>
      <c r="L9" s="21">
        <f t="shared" si="1"/>
        <v>26006</v>
      </c>
      <c r="M9" s="21">
        <f t="shared" si="1"/>
        <v>118883052.81999999</v>
      </c>
      <c r="N9" s="20"/>
      <c r="O9" s="23"/>
      <c r="P9" s="20"/>
      <c r="Q9" s="22"/>
    </row>
    <row r="10" spans="1:17">
      <c r="A10" s="37" t="s">
        <v>35</v>
      </c>
      <c r="B10" s="38"/>
      <c r="C10" s="38"/>
      <c r="D10" s="38"/>
      <c r="E10" s="38"/>
      <c r="F10" s="44"/>
      <c r="G10" s="39">
        <v>418100.44</v>
      </c>
      <c r="H10" s="39">
        <v>1340450</v>
      </c>
      <c r="I10" s="39">
        <v>2628971.5899999989</v>
      </c>
      <c r="J10" s="39">
        <v>1756784.8999999997</v>
      </c>
      <c r="K10" s="39">
        <v>1232420.1700000004</v>
      </c>
      <c r="L10" s="39">
        <v>657670.49</v>
      </c>
      <c r="M10" s="40">
        <f>SUM(B10:L10)</f>
        <v>8034397.5899999999</v>
      </c>
      <c r="N10" s="37"/>
      <c r="O10" s="37"/>
      <c r="P10" s="37"/>
      <c r="Q10" s="41"/>
    </row>
    <row r="11" spans="1:17">
      <c r="A11" s="9" t="s">
        <v>29</v>
      </c>
      <c r="B11" s="10"/>
      <c r="C11" s="10"/>
      <c r="D11" s="10"/>
      <c r="E11" s="10"/>
      <c r="F11" s="10"/>
      <c r="G11" s="10"/>
      <c r="H11" s="10"/>
      <c r="I11" s="17"/>
      <c r="J11" s="10"/>
      <c r="K11" s="10"/>
      <c r="L11" s="10"/>
      <c r="M11" s="10">
        <f>SUM(B11:K11)</f>
        <v>0</v>
      </c>
      <c r="N11" s="9"/>
      <c r="O11" s="9"/>
      <c r="P11" s="9"/>
      <c r="Q11" s="13"/>
    </row>
    <row r="12" spans="1:17">
      <c r="A12" s="20" t="s">
        <v>21</v>
      </c>
      <c r="B12" s="21">
        <f>SUM(B9:B11)</f>
        <v>2816756.2800000003</v>
      </c>
      <c r="C12" s="21">
        <f t="shared" ref="C12:L12" si="2">SUM(C9:C11)</f>
        <v>6425889.7599999988</v>
      </c>
      <c r="D12" s="21">
        <f t="shared" si="2"/>
        <v>11423779.760000002</v>
      </c>
      <c r="E12" s="21">
        <f t="shared" si="2"/>
        <v>16417447.409999993</v>
      </c>
      <c r="F12" s="21">
        <f t="shared" si="2"/>
        <v>20017371.699999988</v>
      </c>
      <c r="G12" s="21">
        <f t="shared" si="2"/>
        <v>24949128.970000003</v>
      </c>
      <c r="H12" s="21">
        <f t="shared" si="2"/>
        <v>28344732.250000015</v>
      </c>
      <c r="I12" s="21">
        <f t="shared" si="2"/>
        <v>10637297.879999999</v>
      </c>
      <c r="J12" s="21">
        <f t="shared" si="2"/>
        <v>3614764.42</v>
      </c>
      <c r="K12" s="21">
        <f t="shared" si="2"/>
        <v>1586605.4900000002</v>
      </c>
      <c r="L12" s="21">
        <f t="shared" si="2"/>
        <v>683676.49</v>
      </c>
      <c r="M12" s="21">
        <f>SUM(B12:L12)</f>
        <v>126917450.40999998</v>
      </c>
      <c r="N12" s="20"/>
      <c r="O12" s="20"/>
      <c r="P12" s="20"/>
      <c r="Q12" s="22"/>
    </row>
    <row r="13" spans="1:17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>
        <f t="shared" ref="M13" si="3">SUM(B13:L13)</f>
        <v>0</v>
      </c>
      <c r="N13" s="3"/>
      <c r="O13" s="3"/>
      <c r="P13" s="3"/>
      <c r="Q13" s="15"/>
    </row>
    <row r="14" spans="1:17">
      <c r="A14" s="9" t="s">
        <v>48</v>
      </c>
      <c r="B14" s="35"/>
      <c r="C14" s="35"/>
      <c r="D14" s="35">
        <v>222002.60999999996</v>
      </c>
      <c r="E14" s="35">
        <v>466153.57000000007</v>
      </c>
      <c r="F14" s="35">
        <v>264152.96999999997</v>
      </c>
      <c r="G14" s="35">
        <v>422637.33000000007</v>
      </c>
      <c r="H14" s="35">
        <v>229264.91000000003</v>
      </c>
      <c r="I14" s="35">
        <v>149043.88000000003</v>
      </c>
      <c r="J14" s="35">
        <v>108416.13000000002</v>
      </c>
      <c r="K14" s="35">
        <v>13228.749999999998</v>
      </c>
      <c r="L14" s="35">
        <v>2600.64</v>
      </c>
      <c r="M14" s="4">
        <f>SUM(B14:L14)</f>
        <v>1877500.7900000003</v>
      </c>
      <c r="N14" s="9"/>
      <c r="O14" s="9"/>
      <c r="P14" s="9"/>
      <c r="Q14" s="16"/>
    </row>
    <row r="15" spans="1:17">
      <c r="A15" s="9" t="s">
        <v>45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>
        <f t="shared" ref="L15" si="4">L7*0.1</f>
        <v>0</v>
      </c>
      <c r="M15" s="4">
        <f>SUM(B15:L15)</f>
        <v>0</v>
      </c>
      <c r="N15" s="9"/>
      <c r="O15" s="9"/>
      <c r="P15" s="9"/>
      <c r="Q15" s="13"/>
    </row>
    <row r="16" spans="1:17">
      <c r="A16" s="42" t="s">
        <v>41</v>
      </c>
      <c r="B16" s="36">
        <v>0</v>
      </c>
      <c r="C16" s="36">
        <f>C9*0.0917</f>
        <v>589254.09099199995</v>
      </c>
      <c r="D16" s="36">
        <f t="shared" ref="D16:L16" si="5">D9*0.0917</f>
        <v>1047560.6039920002</v>
      </c>
      <c r="E16" s="36">
        <f t="shared" si="5"/>
        <v>1505479.9274969995</v>
      </c>
      <c r="F16" s="36">
        <f t="shared" si="5"/>
        <v>1835592.984889999</v>
      </c>
      <c r="G16" s="36">
        <f t="shared" si="5"/>
        <v>2249495.316201</v>
      </c>
      <c r="H16" s="36">
        <f t="shared" si="5"/>
        <v>2476292.6823250013</v>
      </c>
      <c r="I16" s="36">
        <f t="shared" si="5"/>
        <v>734363.520793</v>
      </c>
      <c r="J16" s="36">
        <f t="shared" si="5"/>
        <v>170376.721984</v>
      </c>
      <c r="K16" s="36">
        <f t="shared" si="5"/>
        <v>32478.793843999996</v>
      </c>
      <c r="L16" s="36">
        <f t="shared" si="5"/>
        <v>2384.7501999999999</v>
      </c>
      <c r="M16" s="4">
        <f>SUM(B16:L16)</f>
        <v>10643279.392718</v>
      </c>
      <c r="N16" s="9"/>
      <c r="O16" s="9"/>
      <c r="P16" s="9"/>
      <c r="Q16" s="13"/>
    </row>
    <row r="17" spans="1:17">
      <c r="A17" s="9" t="s">
        <v>23</v>
      </c>
      <c r="B17" s="10"/>
      <c r="C17" s="10"/>
      <c r="D17" s="10"/>
      <c r="E17" s="10"/>
      <c r="G17" s="35">
        <v>124762.51</v>
      </c>
      <c r="H17" s="35">
        <v>404708</v>
      </c>
      <c r="I17" s="35">
        <v>708170.45000000007</v>
      </c>
      <c r="J17" s="35">
        <v>408034.31000000011</v>
      </c>
      <c r="K17" s="35">
        <v>237801.38999999998</v>
      </c>
      <c r="L17" s="35">
        <v>95715.55</v>
      </c>
      <c r="M17" s="4">
        <f>SUM(B17:L17)</f>
        <v>1979192.21</v>
      </c>
      <c r="N17" s="47">
        <f>M10+M17</f>
        <v>10013589.800000001</v>
      </c>
      <c r="O17" s="48" t="s">
        <v>52</v>
      </c>
      <c r="P17" s="9"/>
      <c r="Q17" s="13"/>
    </row>
    <row r="18" spans="1:17">
      <c r="A18" s="9" t="s">
        <v>42</v>
      </c>
      <c r="B18" s="10">
        <f t="shared" ref="B18:L18" si="6">SUM(B14:B17)</f>
        <v>0</v>
      </c>
      <c r="C18" s="10">
        <f t="shared" si="6"/>
        <v>589254.09099199995</v>
      </c>
      <c r="D18" s="10">
        <f t="shared" si="6"/>
        <v>1269563.2139920001</v>
      </c>
      <c r="E18" s="10">
        <f t="shared" si="6"/>
        <v>1971633.4974969996</v>
      </c>
      <c r="F18" s="10">
        <f t="shared" si="6"/>
        <v>2099745.9548899988</v>
      </c>
      <c r="G18" s="10">
        <f t="shared" si="6"/>
        <v>2796895.1562009999</v>
      </c>
      <c r="H18" s="10">
        <f t="shared" si="6"/>
        <v>3110265.5923250015</v>
      </c>
      <c r="I18" s="10">
        <f t="shared" si="6"/>
        <v>1591577.8507930001</v>
      </c>
      <c r="J18" s="10">
        <f t="shared" si="6"/>
        <v>686827.16198400012</v>
      </c>
      <c r="K18" s="10">
        <f t="shared" si="6"/>
        <v>283508.93384399998</v>
      </c>
      <c r="L18" s="10">
        <f t="shared" si="6"/>
        <v>100700.9402</v>
      </c>
      <c r="M18" s="4">
        <f>SUM(B18:L18)</f>
        <v>14499972.392718</v>
      </c>
      <c r="N18" s="13"/>
      <c r="O18" s="9"/>
      <c r="P18" s="9"/>
      <c r="Q18" s="13"/>
    </row>
    <row r="19" spans="1:17">
      <c r="A19" s="3" t="s">
        <v>24</v>
      </c>
      <c r="B19" s="14">
        <f t="shared" ref="B19:K19" si="7">(B20)/SUM(B2:B6)</f>
        <v>1.9428566421667706E-2</v>
      </c>
      <c r="C19" s="14">
        <f t="shared" si="7"/>
        <v>9.8232634185614912E-2</v>
      </c>
      <c r="D19" s="14">
        <f t="shared" si="7"/>
        <v>0.24499694148888357</v>
      </c>
      <c r="E19" s="14">
        <f t="shared" si="7"/>
        <v>0.30678931192388931</v>
      </c>
      <c r="F19" s="14">
        <f t="shared" si="7"/>
        <v>0.26922708245753219</v>
      </c>
      <c r="G19" s="14">
        <f t="shared" si="7"/>
        <v>0.28544260929948123</v>
      </c>
      <c r="H19" s="14">
        <f t="shared" si="7"/>
        <v>0.28142486853358056</v>
      </c>
      <c r="I19" s="14">
        <f t="shared" si="7"/>
        <v>0.30037770002352121</v>
      </c>
      <c r="J19" s="14">
        <f t="shared" si="7"/>
        <v>0.45704988338523478</v>
      </c>
      <c r="K19" s="14">
        <f t="shared" si="7"/>
        <v>0.49999996116434281</v>
      </c>
      <c r="L19" s="14"/>
      <c r="M19" s="4"/>
      <c r="N19" s="12"/>
      <c r="O19" s="3"/>
      <c r="P19" s="3"/>
      <c r="Q19" s="12"/>
    </row>
    <row r="20" spans="1:17">
      <c r="A20" s="9" t="s">
        <v>47</v>
      </c>
      <c r="B20" s="35">
        <v>45499.939999999995</v>
      </c>
      <c r="C20" s="35">
        <v>530211.70000000019</v>
      </c>
      <c r="D20" s="35">
        <v>2419216.8500000024</v>
      </c>
      <c r="E20" s="35">
        <v>3847444</v>
      </c>
      <c r="F20" s="35">
        <v>4846790</v>
      </c>
      <c r="G20" s="35">
        <v>5980445</v>
      </c>
      <c r="H20" s="35">
        <v>7096752.5700000012</v>
      </c>
      <c r="I20" s="35">
        <v>2099067.3900000011</v>
      </c>
      <c r="J20" s="35">
        <v>512317.0500000001</v>
      </c>
      <c r="K20" s="35">
        <v>128747.65000000001</v>
      </c>
      <c r="L20" s="36"/>
      <c r="M20" s="4">
        <f>SUM(B20:L20)</f>
        <v>27506492.150000002</v>
      </c>
      <c r="N20" s="49" t="s">
        <v>25</v>
      </c>
      <c r="O20" s="9" t="s">
        <v>27</v>
      </c>
      <c r="P20" s="9"/>
      <c r="Q20" s="13">
        <f>SUM(Q9:Q11)</f>
        <v>0</v>
      </c>
    </row>
    <row r="21" spans="1:17">
      <c r="A21" s="20" t="s">
        <v>39</v>
      </c>
      <c r="B21" s="21">
        <f>B18+B20</f>
        <v>45499.939999999995</v>
      </c>
      <c r="C21" s="21">
        <f>C18+C20</f>
        <v>1119465.7909920001</v>
      </c>
      <c r="D21" s="21">
        <f t="shared" ref="D21:K21" si="8">D18+D20</f>
        <v>3688780.0639920025</v>
      </c>
      <c r="E21" s="21">
        <f t="shared" si="8"/>
        <v>5819077.4974969998</v>
      </c>
      <c r="F21" s="21">
        <f>F18+F20</f>
        <v>6946535.9548899988</v>
      </c>
      <c r="G21" s="21">
        <f t="shared" si="8"/>
        <v>8777340.1562009994</v>
      </c>
      <c r="H21" s="21">
        <f>H18+H20</f>
        <v>10207018.162325002</v>
      </c>
      <c r="I21" s="21">
        <f t="shared" si="8"/>
        <v>3690645.2407930009</v>
      </c>
      <c r="J21" s="21">
        <f t="shared" si="8"/>
        <v>1199144.2119840002</v>
      </c>
      <c r="K21" s="21">
        <f t="shared" si="8"/>
        <v>412256.58384400001</v>
      </c>
      <c r="L21" s="21">
        <f>L18+L20</f>
        <v>100700.9402</v>
      </c>
      <c r="M21" s="21">
        <f>SUM(B21:L21)</f>
        <v>42006464.542718008</v>
      </c>
      <c r="N21" s="22">
        <f>M12+M21</f>
        <v>168923914.95271799</v>
      </c>
      <c r="O21" s="20"/>
      <c r="P21" s="20"/>
      <c r="Q21" s="22"/>
    </row>
    <row r="22" spans="1:17">
      <c r="A22" s="26" t="s">
        <v>30</v>
      </c>
      <c r="B22" s="27">
        <f t="shared" ref="B22:M22" si="9">B21/B12</f>
        <v>1.6153310928271009E-2</v>
      </c>
      <c r="C22" s="27">
        <f t="shared" si="9"/>
        <v>0.17421179522258104</v>
      </c>
      <c r="D22" s="27">
        <f t="shared" si="9"/>
        <v>0.32290363973123393</v>
      </c>
      <c r="E22" s="27">
        <f t="shared" si="9"/>
        <v>0.35444471678054867</v>
      </c>
      <c r="F22" s="27">
        <f t="shared" si="9"/>
        <v>0.34702537670767253</v>
      </c>
      <c r="G22" s="27">
        <f t="shared" si="9"/>
        <v>0.35180948267794371</v>
      </c>
      <c r="H22" s="27">
        <f t="shared" si="9"/>
        <v>0.36010282518456305</v>
      </c>
      <c r="I22" s="27">
        <f t="shared" si="9"/>
        <v>0.34695326599173898</v>
      </c>
      <c r="J22" s="27">
        <f t="shared" si="9"/>
        <v>0.33173509326065576</v>
      </c>
      <c r="K22" s="27">
        <f t="shared" si="9"/>
        <v>0.25983559646197868</v>
      </c>
      <c r="L22" s="27">
        <f t="shared" si="9"/>
        <v>0.14729326175893515</v>
      </c>
      <c r="M22" s="27">
        <f t="shared" si="9"/>
        <v>0.3309746958122653</v>
      </c>
      <c r="N22" s="26"/>
      <c r="O22" s="26"/>
      <c r="P22" s="26"/>
      <c r="Q22" s="28"/>
    </row>
    <row r="23" spans="1:17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3"/>
      <c r="O23" s="3" t="s">
        <v>20</v>
      </c>
      <c r="P23" s="3"/>
      <c r="Q23" s="12">
        <f>Q20*1.05</f>
        <v>0</v>
      </c>
    </row>
    <row r="24" spans="1:17">
      <c r="A24" s="3" t="s">
        <v>16</v>
      </c>
      <c r="B24" s="4"/>
      <c r="C24" s="4">
        <f t="shared" ref="C24:K24" si="10">C35-C9+B25</f>
        <v>5574110.2400000012</v>
      </c>
      <c r="D24" s="4">
        <f t="shared" si="10"/>
        <v>16076220.239999998</v>
      </c>
      <c r="E24" s="4">
        <f t="shared" si="10"/>
        <v>7057552.5900000073</v>
      </c>
      <c r="F24" s="4">
        <f t="shared" si="10"/>
        <v>4982628.3000000119</v>
      </c>
      <c r="G24" s="4">
        <f t="shared" si="10"/>
        <v>-3231028.5300000012</v>
      </c>
      <c r="H24" s="4">
        <f t="shared" si="10"/>
        <v>-7004282.2500000149</v>
      </c>
      <c r="I24" s="4">
        <f t="shared" si="10"/>
        <v>4991673.7100000009</v>
      </c>
      <c r="J24" s="4">
        <f t="shared" si="10"/>
        <v>3417020.48</v>
      </c>
      <c r="K24" s="4">
        <f t="shared" si="10"/>
        <v>-354185.31999999995</v>
      </c>
      <c r="L24" s="4"/>
      <c r="M24" s="4">
        <f>M35-M9+K25</f>
        <v>32666947.180000007</v>
      </c>
      <c r="N24" s="3"/>
      <c r="O24" s="3"/>
      <c r="P24" s="3"/>
      <c r="Q24" s="3"/>
    </row>
    <row r="25" spans="1:17">
      <c r="A25" s="3" t="s">
        <v>14</v>
      </c>
      <c r="B25" s="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3"/>
      <c r="O25" s="3"/>
      <c r="P25" s="3"/>
      <c r="Q25" s="3"/>
    </row>
    <row r="26" spans="1:17">
      <c r="A26" s="3" t="s">
        <v>15</v>
      </c>
      <c r="B26" s="4">
        <f t="shared" ref="B26:K26" si="11">B18+B20</f>
        <v>45499.939999999995</v>
      </c>
      <c r="C26" s="4">
        <f t="shared" si="11"/>
        <v>1119465.7909920001</v>
      </c>
      <c r="D26" s="4">
        <f t="shared" si="11"/>
        <v>3688780.0639920025</v>
      </c>
      <c r="E26" s="4">
        <f t="shared" si="11"/>
        <v>5819077.4974969998</v>
      </c>
      <c r="F26" s="4">
        <f t="shared" si="11"/>
        <v>6946535.9548899988</v>
      </c>
      <c r="G26" s="4">
        <f t="shared" si="11"/>
        <v>8777340.1562009994</v>
      </c>
      <c r="H26" s="4">
        <f t="shared" si="11"/>
        <v>10207018.162325002</v>
      </c>
      <c r="I26" s="4">
        <f t="shared" si="11"/>
        <v>3690645.2407930009</v>
      </c>
      <c r="J26" s="4">
        <f t="shared" si="11"/>
        <v>1199144.2119840002</v>
      </c>
      <c r="K26" s="4">
        <f t="shared" si="11"/>
        <v>412256.58384400001</v>
      </c>
      <c r="L26" s="4"/>
      <c r="M26" s="4">
        <f>SUM(B26:L26)</f>
        <v>41905763.602518007</v>
      </c>
      <c r="N26" s="3"/>
      <c r="O26" s="3"/>
      <c r="P26" s="3"/>
      <c r="Q26" s="3"/>
    </row>
    <row r="27" spans="1:17">
      <c r="A27" s="3" t="s">
        <v>44</v>
      </c>
      <c r="B27" s="4">
        <f>B9</f>
        <v>2816756.2800000003</v>
      </c>
      <c r="C27" s="4">
        <f t="shared" ref="C27:K27" si="12">C9+C21-C17</f>
        <v>7545355.550991999</v>
      </c>
      <c r="D27" s="4">
        <f t="shared" si="12"/>
        <v>15112559.823992005</v>
      </c>
      <c r="E27" s="4">
        <f t="shared" si="12"/>
        <v>22236524.907496992</v>
      </c>
      <c r="F27" s="4">
        <f t="shared" si="12"/>
        <v>26963907.654889986</v>
      </c>
      <c r="G27" s="4">
        <f t="shared" si="12"/>
        <v>33183606.176200997</v>
      </c>
      <c r="H27" s="4">
        <f t="shared" si="12"/>
        <v>36806592.412325017</v>
      </c>
      <c r="I27" s="4">
        <f t="shared" si="12"/>
        <v>10990801.080793001</v>
      </c>
      <c r="J27" s="4">
        <f t="shared" si="12"/>
        <v>2649089.4219840001</v>
      </c>
      <c r="K27" s="4">
        <f t="shared" si="12"/>
        <v>528640.51384399994</v>
      </c>
      <c r="L27" s="4"/>
      <c r="M27" s="4">
        <f>SUM(B27:L27)</f>
        <v>158833833.82251799</v>
      </c>
      <c r="N27" s="3"/>
      <c r="O27" s="3"/>
      <c r="P27" s="3"/>
      <c r="Q27" s="3"/>
    </row>
    <row r="28" spans="1:17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3"/>
      <c r="O28" s="3"/>
      <c r="P28" s="3"/>
      <c r="Q28" s="3"/>
    </row>
    <row r="29" spans="1:17">
      <c r="A29" s="3" t="s">
        <v>19</v>
      </c>
      <c r="B29" s="10"/>
      <c r="C29" s="10"/>
      <c r="D29" s="10"/>
      <c r="E29" s="10"/>
      <c r="F29" s="11"/>
      <c r="G29" s="11">
        <f>G17/G10</f>
        <v>0.29840320187177988</v>
      </c>
      <c r="H29" s="11">
        <f>H17/H10</f>
        <v>0.30191950464396283</v>
      </c>
      <c r="I29" s="11">
        <f>I17/I10</f>
        <v>0.26937166331264933</v>
      </c>
      <c r="J29" s="11">
        <f>J17/J10</f>
        <v>0.23226196331719393</v>
      </c>
      <c r="K29" s="11">
        <f>K17/K10</f>
        <v>0.19295480209480823</v>
      </c>
      <c r="L29" s="11"/>
      <c r="M29" s="11">
        <f>M17/M10</f>
        <v>0.24633983915152499</v>
      </c>
      <c r="N29" s="9"/>
      <c r="O29" s="9"/>
      <c r="P29" s="9"/>
      <c r="Q29" s="9"/>
    </row>
    <row r="30" spans="1:17">
      <c r="A30" s="3" t="s">
        <v>18</v>
      </c>
      <c r="B30" s="4">
        <f t="shared" ref="B30:L30" si="13">B10+B17</f>
        <v>0</v>
      </c>
      <c r="C30" s="4">
        <f t="shared" si="13"/>
        <v>0</v>
      </c>
      <c r="D30" s="4">
        <f t="shared" si="13"/>
        <v>0</v>
      </c>
      <c r="E30" s="4">
        <f t="shared" si="13"/>
        <v>0</v>
      </c>
      <c r="F30" s="4">
        <f t="shared" si="13"/>
        <v>0</v>
      </c>
      <c r="G30" s="4">
        <f t="shared" si="13"/>
        <v>542862.94999999995</v>
      </c>
      <c r="H30" s="4">
        <f t="shared" si="13"/>
        <v>1745158</v>
      </c>
      <c r="I30" s="4">
        <f t="shared" si="13"/>
        <v>3337142.0399999991</v>
      </c>
      <c r="J30" s="4">
        <f t="shared" si="13"/>
        <v>2164819.21</v>
      </c>
      <c r="K30" s="4">
        <f t="shared" si="13"/>
        <v>1470221.5600000003</v>
      </c>
      <c r="L30" s="4">
        <f t="shared" si="13"/>
        <v>753386.04</v>
      </c>
      <c r="M30" s="4">
        <f>SUM(B30:L30)</f>
        <v>10013589.800000001</v>
      </c>
      <c r="N30" s="3"/>
      <c r="O30" s="3"/>
      <c r="P30" s="3"/>
      <c r="Q30" s="3"/>
    </row>
    <row r="31" spans="1:17">
      <c r="A31" s="3" t="s">
        <v>17</v>
      </c>
      <c r="B31" s="4">
        <f t="shared" ref="B31:K31" si="14">B27+B30</f>
        <v>2816756.2800000003</v>
      </c>
      <c r="C31" s="4">
        <f t="shared" si="14"/>
        <v>7545355.550991999</v>
      </c>
      <c r="D31" s="4">
        <f t="shared" si="14"/>
        <v>15112559.823992005</v>
      </c>
      <c r="E31" s="4">
        <f t="shared" si="14"/>
        <v>22236524.907496992</v>
      </c>
      <c r="F31" s="4">
        <f t="shared" si="14"/>
        <v>26963907.654889986</v>
      </c>
      <c r="G31" s="4">
        <f t="shared" si="14"/>
        <v>33726469.126200996</v>
      </c>
      <c r="H31" s="4">
        <f t="shared" si="14"/>
        <v>38551750.412325017</v>
      </c>
      <c r="I31" s="4">
        <f t="shared" si="14"/>
        <v>14327943.120793</v>
      </c>
      <c r="J31" s="4">
        <f t="shared" si="14"/>
        <v>4813908.6319840001</v>
      </c>
      <c r="K31" s="4">
        <f t="shared" si="14"/>
        <v>1998862.0738440002</v>
      </c>
      <c r="L31" s="4"/>
      <c r="M31" s="4">
        <f>SUM(B31:L31)</f>
        <v>168094037.58251801</v>
      </c>
      <c r="N31" s="3"/>
      <c r="O31" s="3"/>
      <c r="P31" s="3"/>
      <c r="Q31" s="3"/>
    </row>
    <row r="32" spans="1:17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"/>
      <c r="O32" s="3"/>
      <c r="P32" s="3"/>
      <c r="Q32" s="3"/>
    </row>
    <row r="33" spans="1:17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3"/>
      <c r="O33" s="3"/>
      <c r="P33" s="3"/>
      <c r="Q33" s="3"/>
    </row>
    <row r="34" spans="1:17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3"/>
      <c r="O34" s="3"/>
      <c r="P34" s="3"/>
      <c r="Q34" s="3"/>
    </row>
    <row r="35" spans="1:17">
      <c r="A35" s="18" t="s">
        <v>38</v>
      </c>
      <c r="B35" s="29">
        <f>4000*1000</f>
        <v>4000000</v>
      </c>
      <c r="C35" s="30">
        <f>12000*1000</f>
        <v>12000000</v>
      </c>
      <c r="D35" s="30">
        <f>27500*1000</f>
        <v>27500000</v>
      </c>
      <c r="E35" s="30">
        <f>23475*1000</f>
        <v>23475000</v>
      </c>
      <c r="F35" s="30">
        <f>25000*1000</f>
        <v>25000000</v>
      </c>
      <c r="G35" s="30">
        <f>21300*1000</f>
        <v>21300000</v>
      </c>
      <c r="H35" s="30">
        <f>20000*1000</f>
        <v>20000000</v>
      </c>
      <c r="I35" s="30">
        <f>13000*1000</f>
        <v>13000000</v>
      </c>
      <c r="J35" s="30">
        <f>5275*1000</f>
        <v>5275000</v>
      </c>
      <c r="K35" s="30">
        <v>0</v>
      </c>
      <c r="L35" s="30"/>
      <c r="M35" s="30">
        <f>SUM(B35:K35)</f>
        <v>151550000</v>
      </c>
      <c r="N35" s="19"/>
      <c r="O35" s="19"/>
      <c r="P35" s="19"/>
      <c r="Q35" s="19"/>
    </row>
    <row r="36" spans="1:17">
      <c r="A36" s="31" t="s">
        <v>26</v>
      </c>
      <c r="B36" s="32"/>
      <c r="C36" s="33"/>
      <c r="D36" s="33"/>
      <c r="E36" s="33"/>
      <c r="F36" s="33"/>
      <c r="G36" s="33">
        <v>6700000</v>
      </c>
      <c r="H36" s="33">
        <v>2000000</v>
      </c>
      <c r="I36" s="33">
        <v>800000</v>
      </c>
      <c r="J36" s="33">
        <v>500000</v>
      </c>
      <c r="K36" s="33">
        <v>0</v>
      </c>
      <c r="L36" s="33">
        <v>0</v>
      </c>
      <c r="M36" s="33">
        <f>SUM(G36:L36)</f>
        <v>10000000</v>
      </c>
      <c r="N36" s="33"/>
      <c r="O36" s="34"/>
      <c r="P36" s="34"/>
      <c r="Q36" s="34"/>
    </row>
    <row r="37" spans="1:17">
      <c r="A37" s="31" t="s">
        <v>43</v>
      </c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>
        <f>SUM(B37:K37)</f>
        <v>0</v>
      </c>
      <c r="N37" s="34"/>
      <c r="O37" s="34"/>
      <c r="P37" s="34"/>
      <c r="Q37" s="34"/>
    </row>
    <row r="38" spans="1:17">
      <c r="A38" s="3" t="s">
        <v>28</v>
      </c>
      <c r="B38" s="6">
        <f>B35+B36</f>
        <v>4000000</v>
      </c>
      <c r="C38" s="6">
        <f t="shared" ref="C38:L38" si="15">SUM(C35:C37)</f>
        <v>12000000</v>
      </c>
      <c r="D38" s="6">
        <f t="shared" si="15"/>
        <v>27500000</v>
      </c>
      <c r="E38" s="6">
        <f t="shared" si="15"/>
        <v>23475000</v>
      </c>
      <c r="F38" s="6">
        <f t="shared" si="15"/>
        <v>25000000</v>
      </c>
      <c r="G38" s="6">
        <f t="shared" si="15"/>
        <v>28000000</v>
      </c>
      <c r="H38" s="6">
        <f t="shared" si="15"/>
        <v>22000000</v>
      </c>
      <c r="I38" s="6">
        <f t="shared" si="15"/>
        <v>13800000</v>
      </c>
      <c r="J38" s="6">
        <f t="shared" si="15"/>
        <v>5775000</v>
      </c>
      <c r="K38" s="6">
        <f t="shared" si="15"/>
        <v>0</v>
      </c>
      <c r="L38" s="6">
        <f t="shared" si="15"/>
        <v>0</v>
      </c>
      <c r="M38" s="7">
        <f>SUM(B38:L38)</f>
        <v>161550000</v>
      </c>
    </row>
    <row r="39" spans="1:17">
      <c r="A39" s="3" t="s">
        <v>13</v>
      </c>
      <c r="B39" s="5">
        <f>B35+B25</f>
        <v>4000000</v>
      </c>
      <c r="C39" s="4">
        <f t="shared" ref="C39:L39" si="16">C38+B40</f>
        <v>13137743.779999999</v>
      </c>
      <c r="D39" s="4">
        <f t="shared" si="16"/>
        <v>33092388.229008</v>
      </c>
      <c r="E39" s="4">
        <f t="shared" si="16"/>
        <v>41454828.405015998</v>
      </c>
      <c r="F39" s="4">
        <f t="shared" si="16"/>
        <v>44218303.497519001</v>
      </c>
      <c r="G39" s="4">
        <f t="shared" si="16"/>
        <v>45254395.842629015</v>
      </c>
      <c r="H39" s="4">
        <f t="shared" si="16"/>
        <v>33527926.716428012</v>
      </c>
      <c r="I39" s="4">
        <f t="shared" si="16"/>
        <v>8776176.3041029945</v>
      </c>
      <c r="J39" s="4">
        <f t="shared" si="16"/>
        <v>223233.18330999464</v>
      </c>
      <c r="K39" s="4">
        <f t="shared" si="16"/>
        <v>-4590675.4486740055</v>
      </c>
      <c r="L39" s="4">
        <f t="shared" si="16"/>
        <v>-6589537.5225180052</v>
      </c>
      <c r="M39" s="4"/>
      <c r="N39" s="3"/>
      <c r="O39" s="3"/>
      <c r="P39" s="3"/>
      <c r="Q39" s="3"/>
    </row>
    <row r="40" spans="1:17">
      <c r="A40" s="3" t="s">
        <v>12</v>
      </c>
      <c r="B40" s="4">
        <f t="shared" ref="B40:L40" si="17">B39-B12-B21</f>
        <v>1137743.7799999998</v>
      </c>
      <c r="C40" s="4">
        <f t="shared" si="17"/>
        <v>5592388.2290080003</v>
      </c>
      <c r="D40" s="4">
        <f t="shared" si="17"/>
        <v>17979828.405015998</v>
      </c>
      <c r="E40" s="4">
        <f t="shared" si="17"/>
        <v>19218303.497519005</v>
      </c>
      <c r="F40" s="4">
        <f t="shared" si="17"/>
        <v>17254395.842629015</v>
      </c>
      <c r="G40" s="4">
        <f t="shared" si="17"/>
        <v>11527926.716428014</v>
      </c>
      <c r="H40" s="4">
        <f t="shared" si="17"/>
        <v>-5023823.6958970055</v>
      </c>
      <c r="I40" s="4">
        <f t="shared" si="17"/>
        <v>-5551766.8166900054</v>
      </c>
      <c r="J40" s="4">
        <f t="shared" si="17"/>
        <v>-4590675.4486740055</v>
      </c>
      <c r="K40" s="4">
        <f t="shared" si="17"/>
        <v>-6589537.5225180052</v>
      </c>
      <c r="L40" s="4">
        <f t="shared" si="17"/>
        <v>-7373914.9527180055</v>
      </c>
      <c r="M40" s="4"/>
      <c r="N40" s="3"/>
      <c r="O40" s="3"/>
      <c r="P40" s="3"/>
      <c r="Q40" s="3"/>
    </row>
    <row r="41" spans="1:17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3"/>
      <c r="O41" s="3"/>
      <c r="P41" s="3"/>
      <c r="Q41" s="3"/>
    </row>
    <row r="42" spans="1:17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3"/>
      <c r="O42" s="3"/>
      <c r="P42" s="3"/>
      <c r="Q42" s="3"/>
    </row>
    <row r="43" spans="1:17" ht="15.75">
      <c r="A43" s="46" t="s">
        <v>49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3"/>
      <c r="O43" s="3"/>
      <c r="P43" s="3"/>
      <c r="Q43" s="3"/>
    </row>
    <row r="45" spans="1:17" ht="15.75">
      <c r="A45" s="20" t="s">
        <v>46</v>
      </c>
      <c r="B45" s="25" t="s">
        <v>1</v>
      </c>
      <c r="C45" s="25" t="s">
        <v>2</v>
      </c>
      <c r="D45" s="25" t="s">
        <v>3</v>
      </c>
      <c r="E45" s="25" t="s">
        <v>4</v>
      </c>
      <c r="F45" s="25" t="s">
        <v>5</v>
      </c>
      <c r="G45" s="25" t="s">
        <v>6</v>
      </c>
      <c r="H45" s="25" t="s">
        <v>7</v>
      </c>
      <c r="I45" s="25" t="s">
        <v>8</v>
      </c>
      <c r="J45" s="25" t="s">
        <v>10</v>
      </c>
      <c r="K45" s="25" t="s">
        <v>11</v>
      </c>
      <c r="L45" s="25" t="s">
        <v>40</v>
      </c>
      <c r="M45" s="25" t="s">
        <v>9</v>
      </c>
      <c r="N45" s="45"/>
      <c r="O45" s="45"/>
      <c r="P45" s="45"/>
      <c r="Q45" s="45"/>
    </row>
    <row r="46" spans="1:17">
      <c r="A46" s="3" t="s">
        <v>25</v>
      </c>
      <c r="B46" s="2">
        <f t="shared" ref="B46:L46" si="18">B12+B21</f>
        <v>2862256.22</v>
      </c>
      <c r="C46" s="2">
        <f t="shared" si="18"/>
        <v>7545355.550991999</v>
      </c>
      <c r="D46" s="2">
        <f t="shared" si="18"/>
        <v>15112559.823992005</v>
      </c>
      <c r="E46" s="2">
        <f t="shared" si="18"/>
        <v>22236524.907496992</v>
      </c>
      <c r="F46" s="2">
        <f t="shared" si="18"/>
        <v>26963907.654889986</v>
      </c>
      <c r="G46" s="2">
        <f t="shared" si="18"/>
        <v>33726469.126201004</v>
      </c>
      <c r="H46" s="2">
        <f t="shared" si="18"/>
        <v>38551750.412325017</v>
      </c>
      <c r="I46" s="2">
        <f t="shared" si="18"/>
        <v>14327943.120793</v>
      </c>
      <c r="J46" s="2">
        <f t="shared" si="18"/>
        <v>4813908.6319840001</v>
      </c>
      <c r="K46" s="2">
        <f t="shared" si="18"/>
        <v>1998862.0738440002</v>
      </c>
      <c r="L46" s="2">
        <f t="shared" si="18"/>
        <v>784377.43019999994</v>
      </c>
      <c r="M46" s="2">
        <f>SUM(B46:L46)</f>
        <v>168923914.95271802</v>
      </c>
    </row>
    <row r="47" spans="1:17">
      <c r="A47" s="3" t="s">
        <v>28</v>
      </c>
      <c r="B47" s="6">
        <f t="shared" ref="B47:L47" si="19">B38</f>
        <v>4000000</v>
      </c>
      <c r="C47" s="6">
        <f t="shared" si="19"/>
        <v>12000000</v>
      </c>
      <c r="D47" s="6">
        <f t="shared" si="19"/>
        <v>27500000</v>
      </c>
      <c r="E47" s="6">
        <f t="shared" si="19"/>
        <v>23475000</v>
      </c>
      <c r="F47" s="6">
        <f t="shared" si="19"/>
        <v>25000000</v>
      </c>
      <c r="G47" s="6">
        <f t="shared" si="19"/>
        <v>28000000</v>
      </c>
      <c r="H47" s="6">
        <f t="shared" si="19"/>
        <v>22000000</v>
      </c>
      <c r="I47" s="6">
        <f t="shared" si="19"/>
        <v>13800000</v>
      </c>
      <c r="J47" s="6">
        <f t="shared" si="19"/>
        <v>5775000</v>
      </c>
      <c r="K47" s="6">
        <f t="shared" si="19"/>
        <v>0</v>
      </c>
      <c r="L47" s="6">
        <f t="shared" si="19"/>
        <v>0</v>
      </c>
      <c r="M47" s="7">
        <f>SUM(B47:L47)</f>
        <v>161550000</v>
      </c>
    </row>
    <row r="50" spans="1:12" ht="15.75">
      <c r="A50" s="20" t="s">
        <v>46</v>
      </c>
      <c r="B50" s="25" t="s">
        <v>1</v>
      </c>
      <c r="C50" s="25" t="s">
        <v>2</v>
      </c>
      <c r="D50" s="25" t="s">
        <v>3</v>
      </c>
      <c r="E50" s="25" t="s">
        <v>4</v>
      </c>
      <c r="F50" s="25" t="s">
        <v>5</v>
      </c>
      <c r="G50" s="25" t="s">
        <v>6</v>
      </c>
      <c r="H50" s="25" t="s">
        <v>7</v>
      </c>
      <c r="I50" s="25" t="s">
        <v>8</v>
      </c>
      <c r="J50" s="25" t="s">
        <v>10</v>
      </c>
      <c r="K50" s="25" t="s">
        <v>11</v>
      </c>
      <c r="L50" s="25" t="s">
        <v>40</v>
      </c>
    </row>
    <row r="51" spans="1:12">
      <c r="A51" s="3" t="s">
        <v>25</v>
      </c>
      <c r="B51" s="2">
        <f>B46</f>
        <v>2862256.22</v>
      </c>
      <c r="C51" s="2">
        <f>C46+B51</f>
        <v>10407611.770992</v>
      </c>
      <c r="D51" s="2">
        <f t="shared" ref="D51:L52" si="20">C51+D46</f>
        <v>25520171.594984002</v>
      </c>
      <c r="E51" s="2">
        <f t="shared" si="20"/>
        <v>47756696.502480999</v>
      </c>
      <c r="F51" s="2">
        <f t="shared" si="20"/>
        <v>74720604.157370985</v>
      </c>
      <c r="G51" s="2">
        <f t="shared" si="20"/>
        <v>108447073.28357199</v>
      </c>
      <c r="H51" s="2">
        <f t="shared" si="20"/>
        <v>146998823.69589701</v>
      </c>
      <c r="I51" s="2">
        <f t="shared" si="20"/>
        <v>161326766.81669003</v>
      </c>
      <c r="J51" s="2">
        <f t="shared" si="20"/>
        <v>166140675.44867402</v>
      </c>
      <c r="K51" s="2">
        <f t="shared" si="20"/>
        <v>168139537.52251801</v>
      </c>
      <c r="L51" s="2">
        <f t="shared" si="20"/>
        <v>168923914.95271802</v>
      </c>
    </row>
    <row r="52" spans="1:12">
      <c r="A52" s="3" t="s">
        <v>50</v>
      </c>
      <c r="B52" s="2">
        <f>B47</f>
        <v>4000000</v>
      </c>
      <c r="C52" s="2">
        <f>B52+C47</f>
        <v>16000000</v>
      </c>
      <c r="D52" s="2">
        <f t="shared" si="20"/>
        <v>43500000</v>
      </c>
      <c r="E52" s="2">
        <f t="shared" si="20"/>
        <v>66975000</v>
      </c>
      <c r="F52" s="2">
        <f t="shared" si="20"/>
        <v>91975000</v>
      </c>
      <c r="G52" s="2">
        <f>F52+G47</f>
        <v>119975000</v>
      </c>
      <c r="H52" s="2">
        <f>G52+H47</f>
        <v>141975000</v>
      </c>
      <c r="I52" s="2">
        <f t="shared" si="20"/>
        <v>155775000</v>
      </c>
      <c r="J52" s="2">
        <f t="shared" si="20"/>
        <v>161550000</v>
      </c>
      <c r="K52" s="2">
        <f t="shared" si="20"/>
        <v>161550000</v>
      </c>
      <c r="L52" s="2">
        <f t="shared" si="20"/>
        <v>161550000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A83FA-AE1D-48C6-8845-F0595CD5A6B9}">
  <dimension ref="A1:Q52"/>
  <sheetViews>
    <sheetView workbookViewId="0">
      <selection activeCell="C43" sqref="C43"/>
    </sheetView>
  </sheetViews>
  <sheetFormatPr defaultRowHeight="15"/>
  <cols>
    <col min="1" max="1" width="35.85546875" customWidth="1"/>
    <col min="2" max="2" width="14.7109375" customWidth="1"/>
    <col min="3" max="3" width="13.42578125" customWidth="1"/>
    <col min="4" max="5" width="15" customWidth="1"/>
    <col min="6" max="6" width="14.28515625" customWidth="1"/>
    <col min="7" max="7" width="15" customWidth="1"/>
    <col min="8" max="8" width="14.7109375" customWidth="1"/>
    <col min="9" max="9" width="11.7109375" customWidth="1"/>
    <col min="10" max="10" width="13.28515625" customWidth="1"/>
    <col min="11" max="12" width="12.7109375" customWidth="1"/>
    <col min="13" max="13" width="15.85546875" customWidth="1"/>
    <col min="14" max="14" width="15" customWidth="1"/>
    <col min="17" max="17" width="11.7109375" customWidth="1"/>
  </cols>
  <sheetData>
    <row r="1" spans="1:17" ht="15.75">
      <c r="A1" s="24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10</v>
      </c>
      <c r="K1" s="25" t="s">
        <v>11</v>
      </c>
      <c r="L1" s="25" t="s">
        <v>40</v>
      </c>
      <c r="M1" s="25" t="s">
        <v>9</v>
      </c>
      <c r="N1" s="24"/>
      <c r="O1" s="24"/>
      <c r="P1" s="24"/>
      <c r="Q1" s="24"/>
    </row>
    <row r="2" spans="1:17">
      <c r="A2" t="s">
        <v>31</v>
      </c>
      <c r="B2" s="35">
        <v>1162745</v>
      </c>
      <c r="C2" s="35">
        <v>3800833</v>
      </c>
      <c r="D2" s="35">
        <v>3488748.4200000009</v>
      </c>
      <c r="E2" s="35">
        <v>4947999.5700000059</v>
      </c>
      <c r="F2" s="35">
        <v>3332381.8799999957</v>
      </c>
      <c r="G2" s="35">
        <v>7764784.299999983</v>
      </c>
      <c r="H2" s="35">
        <v>10139136.229999974</v>
      </c>
      <c r="I2" s="35">
        <v>4835015.0799999982</v>
      </c>
      <c r="J2" s="35">
        <v>432492.10999999993</v>
      </c>
      <c r="K2" s="35"/>
      <c r="L2" s="36"/>
      <c r="M2" s="1">
        <f t="shared" ref="M2:M8" si="0">SUM(B2:L2)</f>
        <v>39904135.589999959</v>
      </c>
      <c r="O2" s="2"/>
      <c r="Q2" s="2">
        <f>SUM(M2:M6)-SUM(B2:B6)</f>
        <v>94354714.949999988</v>
      </c>
    </row>
    <row r="3" spans="1:17">
      <c r="A3" t="s">
        <v>51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1">
        <f t="shared" si="0"/>
        <v>0</v>
      </c>
      <c r="O3" s="2"/>
      <c r="Q3" s="2"/>
    </row>
    <row r="4" spans="1:17">
      <c r="A4" t="s">
        <v>32</v>
      </c>
      <c r="B4" s="35">
        <v>1050293.4699999993</v>
      </c>
      <c r="C4" s="35">
        <v>1046484.68</v>
      </c>
      <c r="D4" s="35">
        <v>4615992.33</v>
      </c>
      <c r="E4" s="35">
        <v>4970640.28</v>
      </c>
      <c r="F4" s="35">
        <v>6350106.3900000034</v>
      </c>
      <c r="G4" s="35">
        <v>8325491.4800000032</v>
      </c>
      <c r="H4" s="35">
        <v>11321313.340000007</v>
      </c>
      <c r="I4" s="35">
        <v>483607.63999999984</v>
      </c>
      <c r="J4" s="36"/>
      <c r="K4" s="36"/>
      <c r="L4" s="36"/>
      <c r="M4" s="1">
        <f>SUM(B4:L4)</f>
        <v>38163929.610000014</v>
      </c>
      <c r="N4" s="35"/>
      <c r="Q4" s="2">
        <f>Q2*0.4</f>
        <v>37741885.979999997</v>
      </c>
    </row>
    <row r="5" spans="1:17">
      <c r="A5" t="s">
        <v>33</v>
      </c>
      <c r="B5" s="43">
        <v>127639.88000000002</v>
      </c>
      <c r="C5" s="35">
        <v>546624.12999999977</v>
      </c>
      <c r="D5" s="35">
        <v>834473.42000000027</v>
      </c>
      <c r="E5" s="35">
        <v>822069.02000000048</v>
      </c>
      <c r="F5" s="35">
        <v>886015.8899999999</v>
      </c>
      <c r="G5" s="35">
        <v>754838.4700000002</v>
      </c>
      <c r="H5" s="35">
        <v>3176015.5400000052</v>
      </c>
      <c r="I5" s="35">
        <v>5568.34</v>
      </c>
      <c r="J5" s="35">
        <v>688347.11</v>
      </c>
      <c r="K5" s="35">
        <v>257495.31999999998</v>
      </c>
      <c r="L5" s="36"/>
      <c r="M5" s="1">
        <f t="shared" si="0"/>
        <v>8099087.1200000066</v>
      </c>
      <c r="Q5" s="2">
        <f>(M8-B8)*0.25</f>
        <v>2522994.5</v>
      </c>
    </row>
    <row r="6" spans="1:17">
      <c r="A6" t="s">
        <v>34</v>
      </c>
      <c r="B6" s="36"/>
      <c r="C6" s="35">
        <v>8674</v>
      </c>
      <c r="D6" s="35">
        <v>657803</v>
      </c>
      <c r="E6" s="35">
        <v>1993030</v>
      </c>
      <c r="F6" s="35">
        <v>3527084</v>
      </c>
      <c r="G6" s="35">
        <v>2329763.8000000003</v>
      </c>
      <c r="H6" s="35">
        <v>1783977.6500000001</v>
      </c>
      <c r="I6" s="35">
        <v>227908.53000000003</v>
      </c>
      <c r="J6" s="36"/>
      <c r="K6" s="36"/>
      <c r="L6" s="36"/>
      <c r="M6" s="1">
        <f t="shared" si="0"/>
        <v>10528240.98</v>
      </c>
      <c r="Q6" s="2">
        <f>M7*0.1+M11*0.1</f>
        <v>581362.09000000008</v>
      </c>
    </row>
    <row r="7" spans="1:17">
      <c r="A7" t="s">
        <v>37</v>
      </c>
      <c r="B7" s="35"/>
      <c r="C7" s="35"/>
      <c r="D7" s="35"/>
      <c r="E7" s="35">
        <v>2220803</v>
      </c>
      <c r="F7" s="43">
        <v>686007.33</v>
      </c>
      <c r="G7" s="35">
        <v>2209176</v>
      </c>
      <c r="H7" s="36">
        <v>697634.57</v>
      </c>
      <c r="I7" s="35"/>
      <c r="J7" s="35"/>
      <c r="K7" s="35"/>
      <c r="L7" s="35"/>
      <c r="M7" s="1">
        <f t="shared" si="0"/>
        <v>5813620.9000000004</v>
      </c>
    </row>
    <row r="8" spans="1:17">
      <c r="A8" t="s">
        <v>36</v>
      </c>
      <c r="B8" s="35">
        <v>474847</v>
      </c>
      <c r="C8" s="35">
        <v>1028379</v>
      </c>
      <c r="D8" s="35">
        <v>1549302</v>
      </c>
      <c r="E8" s="35">
        <v>1695341</v>
      </c>
      <c r="F8" s="35">
        <v>1377322</v>
      </c>
      <c r="G8" s="35">
        <v>1420494</v>
      </c>
      <c r="H8" s="35">
        <v>1141153</v>
      </c>
      <c r="I8" s="35">
        <v>1020233</v>
      </c>
      <c r="J8" s="35">
        <v>737058</v>
      </c>
      <c r="K8" s="35">
        <v>96690</v>
      </c>
      <c r="L8" s="35">
        <v>26006</v>
      </c>
      <c r="M8" s="1">
        <f t="shared" si="0"/>
        <v>10566825</v>
      </c>
    </row>
    <row r="9" spans="1:17">
      <c r="A9" s="20" t="s">
        <v>22</v>
      </c>
      <c r="B9" s="21">
        <f t="shared" ref="B9:M9" si="1">SUM(B2:B8)</f>
        <v>2815525.3499999992</v>
      </c>
      <c r="C9" s="21">
        <f t="shared" si="1"/>
        <v>6430994.8099999996</v>
      </c>
      <c r="D9" s="21">
        <f t="shared" si="1"/>
        <v>11146319.170000002</v>
      </c>
      <c r="E9" s="21">
        <f t="shared" si="1"/>
        <v>16649882.870000005</v>
      </c>
      <c r="F9" s="21">
        <f t="shared" si="1"/>
        <v>16158917.49</v>
      </c>
      <c r="G9" s="21">
        <f t="shared" si="1"/>
        <v>22804548.049999986</v>
      </c>
      <c r="H9" s="21">
        <f t="shared" si="1"/>
        <v>28259230.329999987</v>
      </c>
      <c r="I9" s="21">
        <f t="shared" si="1"/>
        <v>6572332.589999998</v>
      </c>
      <c r="J9" s="21">
        <f t="shared" si="1"/>
        <v>1857897.22</v>
      </c>
      <c r="K9" s="21">
        <f t="shared" si="1"/>
        <v>354185.31999999995</v>
      </c>
      <c r="L9" s="21">
        <f t="shared" si="1"/>
        <v>26006</v>
      </c>
      <c r="M9" s="21">
        <f t="shared" si="1"/>
        <v>113075839.19999999</v>
      </c>
      <c r="N9" s="20"/>
      <c r="O9" s="23"/>
      <c r="P9" s="20"/>
      <c r="Q9" s="22"/>
    </row>
    <row r="10" spans="1:17">
      <c r="A10" s="37" t="s">
        <v>35</v>
      </c>
      <c r="B10" s="38"/>
      <c r="C10" s="38"/>
      <c r="D10" s="38"/>
      <c r="E10" s="38"/>
      <c r="F10" s="44"/>
      <c r="G10" s="39">
        <v>414762</v>
      </c>
      <c r="H10" s="39">
        <v>1327426.3799999999</v>
      </c>
      <c r="I10" s="39">
        <v>2643378.0300000007</v>
      </c>
      <c r="J10" s="39">
        <v>1768026.5399999993</v>
      </c>
      <c r="K10" s="39">
        <v>1240823.67</v>
      </c>
      <c r="L10" s="39">
        <v>657670.49</v>
      </c>
      <c r="M10" s="40">
        <f>SUM(B10:L10)</f>
        <v>8052087.1099999994</v>
      </c>
      <c r="N10" s="37"/>
      <c r="O10" s="37"/>
      <c r="P10" s="37"/>
      <c r="Q10" s="41"/>
    </row>
    <row r="11" spans="1:17">
      <c r="A11" s="9" t="s">
        <v>29</v>
      </c>
      <c r="B11" s="10"/>
      <c r="C11" s="10"/>
      <c r="D11" s="10"/>
      <c r="E11" s="10"/>
      <c r="F11" s="10"/>
      <c r="G11" s="10"/>
      <c r="H11" s="10"/>
      <c r="I11" s="17"/>
      <c r="J11" s="10"/>
      <c r="K11" s="10"/>
      <c r="L11" s="10"/>
      <c r="M11" s="10">
        <f>SUM(B11:K11)</f>
        <v>0</v>
      </c>
      <c r="N11" s="9"/>
      <c r="O11" s="9"/>
      <c r="P11" s="9"/>
      <c r="Q11" s="13"/>
    </row>
    <row r="12" spans="1:17">
      <c r="A12" s="20" t="s">
        <v>21</v>
      </c>
      <c r="B12" s="21">
        <f>SUM(B9:B11)</f>
        <v>2815525.3499999992</v>
      </c>
      <c r="C12" s="21">
        <f t="shared" ref="C12:L12" si="2">SUM(C9:C11)</f>
        <v>6430994.8099999996</v>
      </c>
      <c r="D12" s="21">
        <f t="shared" si="2"/>
        <v>11146319.170000002</v>
      </c>
      <c r="E12" s="21">
        <f t="shared" si="2"/>
        <v>16649882.870000005</v>
      </c>
      <c r="F12" s="21">
        <f t="shared" si="2"/>
        <v>16158917.49</v>
      </c>
      <c r="G12" s="21">
        <f t="shared" si="2"/>
        <v>23219310.049999986</v>
      </c>
      <c r="H12" s="21">
        <f t="shared" si="2"/>
        <v>29586656.709999986</v>
      </c>
      <c r="I12" s="21">
        <f t="shared" si="2"/>
        <v>9215710.6199999992</v>
      </c>
      <c r="J12" s="21">
        <f t="shared" si="2"/>
        <v>3625923.7599999993</v>
      </c>
      <c r="K12" s="21">
        <f t="shared" si="2"/>
        <v>1595008.9899999998</v>
      </c>
      <c r="L12" s="21">
        <f t="shared" si="2"/>
        <v>683676.49</v>
      </c>
      <c r="M12" s="21">
        <f>SUM(B12:L12)</f>
        <v>121127926.30999999</v>
      </c>
      <c r="N12" s="20"/>
      <c r="O12" s="20"/>
      <c r="P12" s="20"/>
      <c r="Q12" s="22"/>
    </row>
    <row r="13" spans="1:17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>
        <f t="shared" ref="M13" si="3">SUM(B13:L13)</f>
        <v>0</v>
      </c>
      <c r="N13" s="3"/>
      <c r="O13" s="3"/>
      <c r="P13" s="3"/>
      <c r="Q13" s="15"/>
    </row>
    <row r="14" spans="1:17">
      <c r="A14" s="9" t="s">
        <v>48</v>
      </c>
      <c r="B14" s="35"/>
      <c r="C14" s="35"/>
      <c r="D14" s="35">
        <v>222002.60999999996</v>
      </c>
      <c r="E14" s="35">
        <v>472107.62999999995</v>
      </c>
      <c r="F14" s="35">
        <v>271438.02000000008</v>
      </c>
      <c r="G14" s="35">
        <v>430155.46999999991</v>
      </c>
      <c r="H14" s="35">
        <v>237023.63000000012</v>
      </c>
      <c r="I14" s="35">
        <v>149043.85999999999</v>
      </c>
      <c r="J14" s="35">
        <v>108416.12999999999</v>
      </c>
      <c r="K14" s="35">
        <v>13229</v>
      </c>
      <c r="L14" s="36">
        <f t="shared" ref="L14" si="4">L8*0.1</f>
        <v>2600.6000000000004</v>
      </c>
      <c r="M14" s="4">
        <f>SUM(B14:L14)</f>
        <v>1906016.9500000002</v>
      </c>
      <c r="N14" s="9"/>
      <c r="O14" s="9"/>
      <c r="P14" s="9"/>
      <c r="Q14" s="16"/>
    </row>
    <row r="15" spans="1:17">
      <c r="A15" s="9" t="s">
        <v>45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>
        <f t="shared" ref="L15" si="5">L7*0.1</f>
        <v>0</v>
      </c>
      <c r="M15" s="4">
        <f>SUM(B15:L15)</f>
        <v>0</v>
      </c>
      <c r="N15" s="9"/>
      <c r="O15" s="9"/>
      <c r="P15" s="9"/>
      <c r="Q15" s="13"/>
    </row>
    <row r="16" spans="1:17">
      <c r="A16" s="42" t="s">
        <v>41</v>
      </c>
      <c r="B16" s="36">
        <v>0</v>
      </c>
      <c r="C16" s="36">
        <f>C9*0.0965</f>
        <v>620590.99916499993</v>
      </c>
      <c r="D16" s="36">
        <f t="shared" ref="D16:L16" si="6">D9*0.0965</f>
        <v>1075619.7999050003</v>
      </c>
      <c r="E16" s="36">
        <f t="shared" si="6"/>
        <v>1606713.6969550005</v>
      </c>
      <c r="F16" s="36">
        <f t="shared" si="6"/>
        <v>1559335.5377850002</v>
      </c>
      <c r="G16" s="36">
        <f t="shared" si="6"/>
        <v>2200638.8868249985</v>
      </c>
      <c r="H16" s="36">
        <f t="shared" si="6"/>
        <v>2727015.726844999</v>
      </c>
      <c r="I16" s="36">
        <f t="shared" si="6"/>
        <v>634230.09493499983</v>
      </c>
      <c r="J16" s="36">
        <f t="shared" si="6"/>
        <v>179287.08173000001</v>
      </c>
      <c r="K16" s="36">
        <f t="shared" si="6"/>
        <v>34178.883379999999</v>
      </c>
      <c r="L16" s="36">
        <f t="shared" si="6"/>
        <v>2509.5790000000002</v>
      </c>
      <c r="M16" s="4">
        <f>SUM(B16:L16)</f>
        <v>10640120.286525</v>
      </c>
      <c r="N16" s="9"/>
      <c r="O16" s="9"/>
      <c r="P16" s="9"/>
      <c r="Q16" s="13"/>
    </row>
    <row r="17" spans="1:17">
      <c r="A17" s="9" t="s">
        <v>23</v>
      </c>
      <c r="B17" s="10"/>
      <c r="C17" s="10"/>
      <c r="D17" s="10"/>
      <c r="E17" s="10"/>
      <c r="G17" s="35">
        <v>124428.70000000001</v>
      </c>
      <c r="H17" s="35">
        <v>403405.10000000021</v>
      </c>
      <c r="I17" s="35">
        <v>715373.67000000086</v>
      </c>
      <c r="J17" s="35">
        <v>413655.13000000024</v>
      </c>
      <c r="K17" s="35">
        <v>242003.1399999999</v>
      </c>
      <c r="L17" s="35">
        <v>95715.550000000017</v>
      </c>
      <c r="M17" s="4">
        <f>SUM(B17:L17)</f>
        <v>1994581.2900000014</v>
      </c>
      <c r="N17" s="47">
        <f>M10+M17</f>
        <v>10046668.4</v>
      </c>
      <c r="O17" s="48" t="s">
        <v>52</v>
      </c>
      <c r="P17" s="9"/>
      <c r="Q17" s="13"/>
    </row>
    <row r="18" spans="1:17">
      <c r="A18" s="9" t="s">
        <v>42</v>
      </c>
      <c r="B18" s="10">
        <f t="shared" ref="B18:L18" si="7">SUM(B14:B17)</f>
        <v>0</v>
      </c>
      <c r="C18" s="10">
        <f t="shared" si="7"/>
        <v>620590.99916499993</v>
      </c>
      <c r="D18" s="10">
        <f t="shared" si="7"/>
        <v>1297622.4099050001</v>
      </c>
      <c r="E18" s="10">
        <f t="shared" si="7"/>
        <v>2078821.3269550004</v>
      </c>
      <c r="F18" s="10">
        <f t="shared" si="7"/>
        <v>1830773.5577850002</v>
      </c>
      <c r="G18" s="10">
        <f t="shared" si="7"/>
        <v>2755223.0568249985</v>
      </c>
      <c r="H18" s="10">
        <f t="shared" si="7"/>
        <v>3367444.456844999</v>
      </c>
      <c r="I18" s="10">
        <f t="shared" si="7"/>
        <v>1498647.6249350007</v>
      </c>
      <c r="J18" s="10">
        <f t="shared" si="7"/>
        <v>701358.34173000022</v>
      </c>
      <c r="K18" s="10">
        <f t="shared" si="7"/>
        <v>289411.02337999991</v>
      </c>
      <c r="L18" s="10">
        <f t="shared" si="7"/>
        <v>100825.72900000002</v>
      </c>
      <c r="M18" s="4">
        <f>SUM(B18:L18)</f>
        <v>14540718.526525</v>
      </c>
      <c r="N18" s="13"/>
      <c r="O18" s="9"/>
      <c r="P18" s="9"/>
      <c r="Q18" s="13"/>
    </row>
    <row r="19" spans="1:17">
      <c r="A19" s="3" t="s">
        <v>24</v>
      </c>
      <c r="B19" s="14">
        <f t="shared" ref="B19:K19" si="8">(B20)/SUM(B2:B6)</f>
        <v>1.9438783632958374E-2</v>
      </c>
      <c r="C19" s="14">
        <f t="shared" si="8"/>
        <v>9.8139812018208317E-2</v>
      </c>
      <c r="D19" s="14">
        <f t="shared" si="8"/>
        <v>0.25267434735661765</v>
      </c>
      <c r="E19" s="14">
        <f t="shared" si="8"/>
        <v>0.32208900322769091</v>
      </c>
      <c r="F19" s="14">
        <f t="shared" si="8"/>
        <v>0.29103658630162482</v>
      </c>
      <c r="G19" s="14">
        <f t="shared" si="8"/>
        <v>0.29543589822204946</v>
      </c>
      <c r="H19" s="14">
        <f t="shared" si="8"/>
        <v>0.28572732594130024</v>
      </c>
      <c r="I19" s="14">
        <f t="shared" si="8"/>
        <v>0.3101747423806569</v>
      </c>
      <c r="J19" s="14">
        <f t="shared" si="8"/>
        <v>0.45707242471404602</v>
      </c>
      <c r="K19" s="14">
        <f t="shared" si="8"/>
        <v>0.49999996116434281</v>
      </c>
      <c r="L19" s="14"/>
      <c r="M19" s="4"/>
      <c r="N19" s="12"/>
      <c r="O19" s="3"/>
      <c r="P19" s="3"/>
      <c r="Q19" s="12"/>
    </row>
    <row r="20" spans="1:17">
      <c r="A20" s="9" t="s">
        <v>47</v>
      </c>
      <c r="B20" s="35">
        <v>45499.939999999995</v>
      </c>
      <c r="C20" s="35">
        <v>530211.70000000019</v>
      </c>
      <c r="D20" s="35">
        <v>2424920.050000004</v>
      </c>
      <c r="E20" s="35">
        <v>4101397.2600000049</v>
      </c>
      <c r="F20" s="35">
        <v>4102331.8600000013</v>
      </c>
      <c r="G20" s="35">
        <v>5664947.3200000059</v>
      </c>
      <c r="H20" s="35">
        <v>7549042.4599999823</v>
      </c>
      <c r="I20" s="35">
        <v>1722121.06</v>
      </c>
      <c r="J20" s="35">
        <v>512304.70000000007</v>
      </c>
      <c r="K20" s="35">
        <v>128747.65000000001</v>
      </c>
      <c r="L20" s="36"/>
      <c r="M20" s="4">
        <f>SUM(B20:L20)</f>
        <v>26781523.999999996</v>
      </c>
      <c r="N20" s="49" t="s">
        <v>25</v>
      </c>
      <c r="O20" s="9" t="s">
        <v>27</v>
      </c>
      <c r="P20" s="9"/>
      <c r="Q20" s="13">
        <f>SUM(Q9:Q11)</f>
        <v>0</v>
      </c>
    </row>
    <row r="21" spans="1:17">
      <c r="A21" s="20" t="s">
        <v>39</v>
      </c>
      <c r="B21" s="21">
        <f>B18+B20</f>
        <v>45499.939999999995</v>
      </c>
      <c r="C21" s="21">
        <f>C18+C20</f>
        <v>1150802.6991650001</v>
      </c>
      <c r="D21" s="21">
        <f t="shared" ref="D21:K21" si="9">D18+D20</f>
        <v>3722542.4599050041</v>
      </c>
      <c r="E21" s="21">
        <f t="shared" si="9"/>
        <v>6180218.5869550053</v>
      </c>
      <c r="F21" s="21">
        <f>F18+F20</f>
        <v>5933105.4177850019</v>
      </c>
      <c r="G21" s="21">
        <f t="shared" si="9"/>
        <v>8420170.3768250048</v>
      </c>
      <c r="H21" s="21">
        <f>H18+H20</f>
        <v>10916486.916844981</v>
      </c>
      <c r="I21" s="21">
        <f t="shared" si="9"/>
        <v>3220768.6849350007</v>
      </c>
      <c r="J21" s="21">
        <f t="shared" si="9"/>
        <v>1213663.0417300002</v>
      </c>
      <c r="K21" s="21">
        <f t="shared" si="9"/>
        <v>418158.67337999993</v>
      </c>
      <c r="L21" s="21">
        <f>L18+L20</f>
        <v>100825.72900000002</v>
      </c>
      <c r="M21" s="21">
        <f>SUM(B21:L21)</f>
        <v>41322242.526525006</v>
      </c>
      <c r="N21" s="22">
        <f>M12+M21</f>
        <v>162450168.83652499</v>
      </c>
      <c r="O21" s="20"/>
      <c r="P21" s="20"/>
      <c r="Q21" s="22"/>
    </row>
    <row r="22" spans="1:17">
      <c r="A22" s="26" t="s">
        <v>30</v>
      </c>
      <c r="B22" s="27">
        <f t="shared" ref="B22:M22" si="10">B21/B12</f>
        <v>1.6160373054357337E-2</v>
      </c>
      <c r="C22" s="27">
        <f t="shared" si="10"/>
        <v>0.17894629573880813</v>
      </c>
      <c r="D22" s="27">
        <f t="shared" si="10"/>
        <v>0.33397056042716955</v>
      </c>
      <c r="E22" s="27">
        <f t="shared" si="10"/>
        <v>0.37118691075542704</v>
      </c>
      <c r="F22" s="27">
        <f t="shared" si="10"/>
        <v>0.36717220825322761</v>
      </c>
      <c r="G22" s="27">
        <f t="shared" si="10"/>
        <v>0.36263654512960042</v>
      </c>
      <c r="H22" s="27">
        <f t="shared" si="10"/>
        <v>0.36896655894058217</v>
      </c>
      <c r="I22" s="27">
        <f t="shared" si="10"/>
        <v>0.34948674255735268</v>
      </c>
      <c r="J22" s="27">
        <f t="shared" si="10"/>
        <v>0.33471830133847064</v>
      </c>
      <c r="K22" s="27">
        <f t="shared" si="10"/>
        <v>0.26216696959181401</v>
      </c>
      <c r="L22" s="27">
        <f t="shared" si="10"/>
        <v>0.14747578785398927</v>
      </c>
      <c r="M22" s="27">
        <f t="shared" si="10"/>
        <v>0.34114546319211242</v>
      </c>
      <c r="N22" s="26"/>
      <c r="O22" s="26"/>
      <c r="P22" s="26"/>
      <c r="Q22" s="28"/>
    </row>
    <row r="23" spans="1:17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3"/>
      <c r="O23" s="3" t="s">
        <v>20</v>
      </c>
      <c r="P23" s="3"/>
      <c r="Q23" s="12">
        <f>Q20*1.05</f>
        <v>0</v>
      </c>
    </row>
    <row r="24" spans="1:17">
      <c r="A24" s="3" t="s">
        <v>16</v>
      </c>
      <c r="B24" s="4"/>
      <c r="C24" s="4">
        <f t="shared" ref="C24:K24" si="11">C35-C9+B25</f>
        <v>5569005.1900000004</v>
      </c>
      <c r="D24" s="4">
        <f t="shared" si="11"/>
        <v>16353680.829999998</v>
      </c>
      <c r="E24" s="4">
        <f t="shared" si="11"/>
        <v>6825117.1299999952</v>
      </c>
      <c r="F24" s="4">
        <f t="shared" si="11"/>
        <v>8841082.5099999998</v>
      </c>
      <c r="G24" s="4">
        <f t="shared" si="11"/>
        <v>-1504548.0499999858</v>
      </c>
      <c r="H24" s="4">
        <f t="shared" si="11"/>
        <v>-8259230.329999987</v>
      </c>
      <c r="I24" s="4">
        <f t="shared" si="11"/>
        <v>6427667.410000002</v>
      </c>
      <c r="J24" s="4">
        <f t="shared" si="11"/>
        <v>3417102.7800000003</v>
      </c>
      <c r="K24" s="4">
        <f t="shared" si="11"/>
        <v>-354185.31999999995</v>
      </c>
      <c r="L24" s="4"/>
      <c r="M24" s="4">
        <f>M35-M9+K25</f>
        <v>38474160.800000012</v>
      </c>
      <c r="N24" s="3"/>
      <c r="O24" s="3"/>
      <c r="P24" s="3"/>
      <c r="Q24" s="3"/>
    </row>
    <row r="25" spans="1:17">
      <c r="A25" s="3" t="s">
        <v>14</v>
      </c>
      <c r="B25" s="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3"/>
      <c r="O25" s="3"/>
      <c r="P25" s="3"/>
      <c r="Q25" s="3"/>
    </row>
    <row r="26" spans="1:17">
      <c r="A26" s="3" t="s">
        <v>15</v>
      </c>
      <c r="B26" s="4">
        <f t="shared" ref="B26:K26" si="12">B18+B20</f>
        <v>45499.939999999995</v>
      </c>
      <c r="C26" s="4">
        <f t="shared" si="12"/>
        <v>1150802.6991650001</v>
      </c>
      <c r="D26" s="4">
        <f t="shared" si="12"/>
        <v>3722542.4599050041</v>
      </c>
      <c r="E26" s="4">
        <f t="shared" si="12"/>
        <v>6180218.5869550053</v>
      </c>
      <c r="F26" s="4">
        <f t="shared" si="12"/>
        <v>5933105.4177850019</v>
      </c>
      <c r="G26" s="4">
        <f t="shared" si="12"/>
        <v>8420170.3768250048</v>
      </c>
      <c r="H26" s="4">
        <f t="shared" si="12"/>
        <v>10916486.916844981</v>
      </c>
      <c r="I26" s="4">
        <f t="shared" si="12"/>
        <v>3220768.6849350007</v>
      </c>
      <c r="J26" s="4">
        <f t="shared" si="12"/>
        <v>1213663.0417300002</v>
      </c>
      <c r="K26" s="4">
        <f t="shared" si="12"/>
        <v>418158.67337999993</v>
      </c>
      <c r="L26" s="4"/>
      <c r="M26" s="4">
        <f>SUM(B26:L26)</f>
        <v>41221416.797525004</v>
      </c>
      <c r="N26" s="3"/>
      <c r="O26" s="3"/>
      <c r="P26" s="3"/>
      <c r="Q26" s="3"/>
    </row>
    <row r="27" spans="1:17">
      <c r="A27" s="3" t="s">
        <v>44</v>
      </c>
      <c r="B27" s="4">
        <f>B9</f>
        <v>2815525.3499999992</v>
      </c>
      <c r="C27" s="4">
        <f t="shared" ref="C27:K27" si="13">C9+C21-C17</f>
        <v>7581797.5091650002</v>
      </c>
      <c r="D27" s="4">
        <f t="shared" si="13"/>
        <v>14868861.629905006</v>
      </c>
      <c r="E27" s="4">
        <f t="shared" si="13"/>
        <v>22830101.456955008</v>
      </c>
      <c r="F27" s="4">
        <f t="shared" si="13"/>
        <v>22092022.907785002</v>
      </c>
      <c r="G27" s="4">
        <f t="shared" si="13"/>
        <v>31100289.726824991</v>
      </c>
      <c r="H27" s="4">
        <f t="shared" si="13"/>
        <v>38772312.146844968</v>
      </c>
      <c r="I27" s="4">
        <f t="shared" si="13"/>
        <v>9077727.6049349979</v>
      </c>
      <c r="J27" s="4">
        <f t="shared" si="13"/>
        <v>2657905.13173</v>
      </c>
      <c r="K27" s="4">
        <f t="shared" si="13"/>
        <v>530340.85337999999</v>
      </c>
      <c r="L27" s="4"/>
      <c r="M27" s="4">
        <f>SUM(B27:L27)</f>
        <v>152326884.31752497</v>
      </c>
      <c r="N27" s="3"/>
      <c r="O27" s="3"/>
      <c r="P27" s="3"/>
      <c r="Q27" s="3"/>
    </row>
    <row r="28" spans="1:17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3"/>
      <c r="O28" s="3"/>
      <c r="P28" s="3"/>
      <c r="Q28" s="3"/>
    </row>
    <row r="29" spans="1:17">
      <c r="A29" s="3" t="s">
        <v>19</v>
      </c>
      <c r="B29" s="10"/>
      <c r="C29" s="10"/>
      <c r="D29" s="10"/>
      <c r="E29" s="10"/>
      <c r="F29" s="11"/>
      <c r="G29" s="11">
        <f>G17/G10</f>
        <v>0.30000024110212609</v>
      </c>
      <c r="H29" s="11">
        <f>H17/H10</f>
        <v>0.30390016808314463</v>
      </c>
      <c r="I29" s="11">
        <f>I17/I10</f>
        <v>0.27062859034203318</v>
      </c>
      <c r="J29" s="11">
        <f>J17/J10</f>
        <v>0.23396432159892824</v>
      </c>
      <c r="K29" s="11">
        <f>K17/K10</f>
        <v>0.19503427106608945</v>
      </c>
      <c r="L29" s="11"/>
      <c r="M29" s="11">
        <f>M17/M10</f>
        <v>0.24770984997453679</v>
      </c>
      <c r="N29" s="9"/>
      <c r="O29" s="9"/>
      <c r="P29" s="9"/>
      <c r="Q29" s="9"/>
    </row>
    <row r="30" spans="1:17">
      <c r="A30" s="3" t="s">
        <v>18</v>
      </c>
      <c r="B30" s="4">
        <f t="shared" ref="B30:L30" si="14">B10+B17</f>
        <v>0</v>
      </c>
      <c r="C30" s="4">
        <f t="shared" si="14"/>
        <v>0</v>
      </c>
      <c r="D30" s="4">
        <f t="shared" si="14"/>
        <v>0</v>
      </c>
      <c r="E30" s="4">
        <f t="shared" si="14"/>
        <v>0</v>
      </c>
      <c r="F30" s="4">
        <f t="shared" si="14"/>
        <v>0</v>
      </c>
      <c r="G30" s="4">
        <f t="shared" si="14"/>
        <v>539190.69999999995</v>
      </c>
      <c r="H30" s="4">
        <f t="shared" si="14"/>
        <v>1730831.48</v>
      </c>
      <c r="I30" s="4">
        <f t="shared" si="14"/>
        <v>3358751.7000000016</v>
      </c>
      <c r="J30" s="4">
        <f t="shared" si="14"/>
        <v>2181681.6699999995</v>
      </c>
      <c r="K30" s="4">
        <f t="shared" si="14"/>
        <v>1482826.8099999998</v>
      </c>
      <c r="L30" s="4">
        <f t="shared" si="14"/>
        <v>753386.04</v>
      </c>
      <c r="M30" s="4">
        <f>SUM(B30:L30)</f>
        <v>10046668.400000002</v>
      </c>
      <c r="N30" s="3"/>
      <c r="O30" s="3"/>
      <c r="P30" s="3"/>
      <c r="Q30" s="3"/>
    </row>
    <row r="31" spans="1:17">
      <c r="A31" s="3" t="s">
        <v>17</v>
      </c>
      <c r="B31" s="4">
        <f t="shared" ref="B31:K31" si="15">B27+B30</f>
        <v>2815525.3499999992</v>
      </c>
      <c r="C31" s="4">
        <f t="shared" si="15"/>
        <v>7581797.5091650002</v>
      </c>
      <c r="D31" s="4">
        <f t="shared" si="15"/>
        <v>14868861.629905006</v>
      </c>
      <c r="E31" s="4">
        <f t="shared" si="15"/>
        <v>22830101.456955008</v>
      </c>
      <c r="F31" s="4">
        <f t="shared" si="15"/>
        <v>22092022.907785002</v>
      </c>
      <c r="G31" s="4">
        <f t="shared" si="15"/>
        <v>31639480.426824991</v>
      </c>
      <c r="H31" s="4">
        <f t="shared" si="15"/>
        <v>40503143.626844965</v>
      </c>
      <c r="I31" s="4">
        <f t="shared" si="15"/>
        <v>12436479.304934999</v>
      </c>
      <c r="J31" s="4">
        <f t="shared" si="15"/>
        <v>4839586.8017299995</v>
      </c>
      <c r="K31" s="4">
        <f t="shared" si="15"/>
        <v>2013167.6633799998</v>
      </c>
      <c r="L31" s="4"/>
      <c r="M31" s="4">
        <f>SUM(B31:L31)</f>
        <v>161620166.67752498</v>
      </c>
      <c r="N31" s="3"/>
      <c r="O31" s="3"/>
      <c r="P31" s="3"/>
      <c r="Q31" s="3"/>
    </row>
    <row r="32" spans="1:17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"/>
      <c r="O32" s="3"/>
      <c r="P32" s="3"/>
      <c r="Q32" s="3"/>
    </row>
    <row r="33" spans="1:17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3"/>
      <c r="O33" s="3"/>
      <c r="P33" s="3"/>
      <c r="Q33" s="3"/>
    </row>
    <row r="34" spans="1:17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3"/>
      <c r="O34" s="3"/>
      <c r="P34" s="3"/>
      <c r="Q34" s="3"/>
    </row>
    <row r="35" spans="1:17">
      <c r="A35" s="18" t="s">
        <v>38</v>
      </c>
      <c r="B35" s="29">
        <f>4000*1000</f>
        <v>4000000</v>
      </c>
      <c r="C35" s="30">
        <f>12000*1000</f>
        <v>12000000</v>
      </c>
      <c r="D35" s="30">
        <f>27500*1000</f>
        <v>27500000</v>
      </c>
      <c r="E35" s="30">
        <f>23475*1000</f>
        <v>23475000</v>
      </c>
      <c r="F35" s="30">
        <f>25000*1000</f>
        <v>25000000</v>
      </c>
      <c r="G35" s="30">
        <f>21300*1000</f>
        <v>21300000</v>
      </c>
      <c r="H35" s="30">
        <f>20000*1000</f>
        <v>20000000</v>
      </c>
      <c r="I35" s="30">
        <f>13000*1000</f>
        <v>13000000</v>
      </c>
      <c r="J35" s="30">
        <f>5275*1000</f>
        <v>5275000</v>
      </c>
      <c r="K35" s="30">
        <v>0</v>
      </c>
      <c r="L35" s="30"/>
      <c r="M35" s="30">
        <f>SUM(B35:K35)</f>
        <v>151550000</v>
      </c>
      <c r="N35" s="19"/>
      <c r="O35" s="19"/>
      <c r="P35" s="19"/>
      <c r="Q35" s="19"/>
    </row>
    <row r="36" spans="1:17">
      <c r="A36" s="31" t="s">
        <v>26</v>
      </c>
      <c r="B36" s="32"/>
      <c r="C36" s="33"/>
      <c r="D36" s="33"/>
      <c r="E36" s="33"/>
      <c r="F36" s="33"/>
      <c r="G36" s="33">
        <v>6700000</v>
      </c>
      <c r="H36" s="33">
        <v>2000000</v>
      </c>
      <c r="I36" s="33">
        <v>800000</v>
      </c>
      <c r="J36" s="33">
        <v>500000</v>
      </c>
      <c r="K36" s="33">
        <v>0</v>
      </c>
      <c r="L36" s="33">
        <v>0</v>
      </c>
      <c r="M36" s="33">
        <f>SUM(G36:L36)</f>
        <v>10000000</v>
      </c>
      <c r="N36" s="33"/>
      <c r="O36" s="34"/>
      <c r="P36" s="34"/>
      <c r="Q36" s="34"/>
    </row>
    <row r="37" spans="1:17">
      <c r="A37" s="31" t="s">
        <v>43</v>
      </c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>
        <f>SUM(B37:K37)</f>
        <v>0</v>
      </c>
      <c r="N37" s="34"/>
      <c r="O37" s="34"/>
      <c r="P37" s="34"/>
      <c r="Q37" s="34"/>
    </row>
    <row r="38" spans="1:17">
      <c r="A38" s="3" t="s">
        <v>28</v>
      </c>
      <c r="B38" s="6">
        <f>B35+B36</f>
        <v>4000000</v>
      </c>
      <c r="C38" s="6">
        <f t="shared" ref="C38:L38" si="16">SUM(C35:C37)</f>
        <v>12000000</v>
      </c>
      <c r="D38" s="6">
        <f t="shared" si="16"/>
        <v>27500000</v>
      </c>
      <c r="E38" s="6">
        <f t="shared" si="16"/>
        <v>23475000</v>
      </c>
      <c r="F38" s="6">
        <f t="shared" si="16"/>
        <v>25000000</v>
      </c>
      <c r="G38" s="6">
        <f t="shared" si="16"/>
        <v>28000000</v>
      </c>
      <c r="H38" s="6">
        <f t="shared" si="16"/>
        <v>22000000</v>
      </c>
      <c r="I38" s="6">
        <f t="shared" si="16"/>
        <v>13800000</v>
      </c>
      <c r="J38" s="6">
        <f t="shared" si="16"/>
        <v>5775000</v>
      </c>
      <c r="K38" s="6">
        <f t="shared" si="16"/>
        <v>0</v>
      </c>
      <c r="L38" s="6">
        <f t="shared" si="16"/>
        <v>0</v>
      </c>
      <c r="M38" s="7">
        <f>SUM(B38:L38)</f>
        <v>161550000</v>
      </c>
    </row>
    <row r="39" spans="1:17">
      <c r="A39" s="3" t="s">
        <v>13</v>
      </c>
      <c r="B39" s="5">
        <f>B35+B25</f>
        <v>4000000</v>
      </c>
      <c r="C39" s="4">
        <f t="shared" ref="C39:L39" si="17">C38+B40</f>
        <v>13138974.710000001</v>
      </c>
      <c r="D39" s="4">
        <f t="shared" si="17"/>
        <v>33057177.200835001</v>
      </c>
      <c r="E39" s="4">
        <f t="shared" si="17"/>
        <v>41663315.570929997</v>
      </c>
      <c r="F39" s="4">
        <f t="shared" si="17"/>
        <v>43833214.113974988</v>
      </c>
      <c r="G39" s="4">
        <f t="shared" si="17"/>
        <v>49741191.206189983</v>
      </c>
      <c r="H39" s="4">
        <f t="shared" si="17"/>
        <v>40101710.779364988</v>
      </c>
      <c r="I39" s="4">
        <f t="shared" si="17"/>
        <v>13398567.152520021</v>
      </c>
      <c r="J39" s="4">
        <f t="shared" si="17"/>
        <v>6737087.8475850215</v>
      </c>
      <c r="K39" s="4">
        <f t="shared" si="17"/>
        <v>1897501.045855022</v>
      </c>
      <c r="L39" s="4">
        <f t="shared" si="17"/>
        <v>-115666.61752497766</v>
      </c>
      <c r="M39" s="4"/>
      <c r="N39" s="3"/>
      <c r="O39" s="3"/>
      <c r="P39" s="3"/>
      <c r="Q39" s="3"/>
    </row>
    <row r="40" spans="1:17">
      <c r="A40" s="3" t="s">
        <v>12</v>
      </c>
      <c r="B40" s="4">
        <f t="shared" ref="B40:L40" si="18">B39-B12-B21</f>
        <v>1138974.7100000009</v>
      </c>
      <c r="C40" s="4">
        <f t="shared" si="18"/>
        <v>5557177.2008350007</v>
      </c>
      <c r="D40" s="4">
        <f t="shared" si="18"/>
        <v>18188315.570929997</v>
      </c>
      <c r="E40" s="4">
        <f t="shared" si="18"/>
        <v>18833214.113974988</v>
      </c>
      <c r="F40" s="4">
        <f t="shared" si="18"/>
        <v>21741191.206189983</v>
      </c>
      <c r="G40" s="4">
        <f t="shared" si="18"/>
        <v>18101710.779364992</v>
      </c>
      <c r="H40" s="4">
        <f t="shared" si="18"/>
        <v>-401432.84747997858</v>
      </c>
      <c r="I40" s="4">
        <f t="shared" si="18"/>
        <v>962087.84758502152</v>
      </c>
      <c r="J40" s="4">
        <f t="shared" si="18"/>
        <v>1897501.045855022</v>
      </c>
      <c r="K40" s="4">
        <f t="shared" si="18"/>
        <v>-115666.61752497766</v>
      </c>
      <c r="L40" s="4">
        <f t="shared" si="18"/>
        <v>-900168.8365249777</v>
      </c>
      <c r="M40" s="4"/>
      <c r="N40" s="3"/>
      <c r="O40" s="3"/>
      <c r="P40" s="3"/>
      <c r="Q40" s="3"/>
    </row>
    <row r="41" spans="1:17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3"/>
      <c r="O41" s="3"/>
      <c r="P41" s="3"/>
      <c r="Q41" s="3"/>
    </row>
    <row r="42" spans="1:17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3"/>
      <c r="O42" s="3"/>
      <c r="P42" s="3"/>
      <c r="Q42" s="3"/>
    </row>
    <row r="43" spans="1:17" ht="15.75">
      <c r="A43" s="46" t="s">
        <v>49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3"/>
      <c r="O43" s="3"/>
      <c r="P43" s="3"/>
      <c r="Q43" s="3"/>
    </row>
    <row r="45" spans="1:17" ht="15.75">
      <c r="A45" s="20" t="s">
        <v>46</v>
      </c>
      <c r="B45" s="25" t="s">
        <v>1</v>
      </c>
      <c r="C45" s="25" t="s">
        <v>2</v>
      </c>
      <c r="D45" s="25" t="s">
        <v>3</v>
      </c>
      <c r="E45" s="25" t="s">
        <v>4</v>
      </c>
      <c r="F45" s="25" t="s">
        <v>5</v>
      </c>
      <c r="G45" s="25" t="s">
        <v>6</v>
      </c>
      <c r="H45" s="25" t="s">
        <v>7</v>
      </c>
      <c r="I45" s="25" t="s">
        <v>8</v>
      </c>
      <c r="J45" s="25" t="s">
        <v>10</v>
      </c>
      <c r="K45" s="25" t="s">
        <v>11</v>
      </c>
      <c r="L45" s="25" t="s">
        <v>40</v>
      </c>
      <c r="M45" s="25" t="s">
        <v>9</v>
      </c>
      <c r="N45" s="45"/>
      <c r="O45" s="45"/>
      <c r="P45" s="45"/>
      <c r="Q45" s="45"/>
    </row>
    <row r="46" spans="1:17">
      <c r="A46" s="3" t="s">
        <v>25</v>
      </c>
      <c r="B46" s="2">
        <f t="shared" ref="B46:L46" si="19">B12+B21</f>
        <v>2861025.2899999991</v>
      </c>
      <c r="C46" s="2">
        <f t="shared" si="19"/>
        <v>7581797.5091650002</v>
      </c>
      <c r="D46" s="2">
        <f t="shared" si="19"/>
        <v>14868861.629905006</v>
      </c>
      <c r="E46" s="2">
        <f t="shared" si="19"/>
        <v>22830101.456955008</v>
      </c>
      <c r="F46" s="2">
        <f t="shared" si="19"/>
        <v>22092022.907785002</v>
      </c>
      <c r="G46" s="2">
        <f t="shared" si="19"/>
        <v>31639480.426824991</v>
      </c>
      <c r="H46" s="2">
        <f t="shared" si="19"/>
        <v>40503143.626844965</v>
      </c>
      <c r="I46" s="2">
        <f t="shared" si="19"/>
        <v>12436479.304935001</v>
      </c>
      <c r="J46" s="2">
        <f t="shared" si="19"/>
        <v>4839586.8017299995</v>
      </c>
      <c r="K46" s="2">
        <f t="shared" si="19"/>
        <v>2013167.6633799998</v>
      </c>
      <c r="L46" s="2">
        <f t="shared" si="19"/>
        <v>784502.21900000004</v>
      </c>
      <c r="M46" s="2">
        <f>SUM(B46:L46)</f>
        <v>162450168.83652499</v>
      </c>
    </row>
    <row r="47" spans="1:17">
      <c r="A47" s="3" t="s">
        <v>28</v>
      </c>
      <c r="B47" s="6">
        <f t="shared" ref="B47:L47" si="20">B38</f>
        <v>4000000</v>
      </c>
      <c r="C47" s="6">
        <f t="shared" si="20"/>
        <v>12000000</v>
      </c>
      <c r="D47" s="6">
        <f t="shared" si="20"/>
        <v>27500000</v>
      </c>
      <c r="E47" s="6">
        <f t="shared" si="20"/>
        <v>23475000</v>
      </c>
      <c r="F47" s="6">
        <f t="shared" si="20"/>
        <v>25000000</v>
      </c>
      <c r="G47" s="6">
        <f t="shared" si="20"/>
        <v>28000000</v>
      </c>
      <c r="H47" s="6">
        <f t="shared" si="20"/>
        <v>22000000</v>
      </c>
      <c r="I47" s="6">
        <f t="shared" si="20"/>
        <v>13800000</v>
      </c>
      <c r="J47" s="6">
        <f t="shared" si="20"/>
        <v>5775000</v>
      </c>
      <c r="K47" s="6">
        <f t="shared" si="20"/>
        <v>0</v>
      </c>
      <c r="L47" s="6">
        <f t="shared" si="20"/>
        <v>0</v>
      </c>
      <c r="M47" s="7">
        <f>SUM(B47:L47)</f>
        <v>161550000</v>
      </c>
    </row>
    <row r="50" spans="1:12" ht="15.75">
      <c r="A50" s="20" t="s">
        <v>46</v>
      </c>
      <c r="B50" s="25" t="s">
        <v>1</v>
      </c>
      <c r="C50" s="25" t="s">
        <v>2</v>
      </c>
      <c r="D50" s="25" t="s">
        <v>3</v>
      </c>
      <c r="E50" s="25" t="s">
        <v>4</v>
      </c>
      <c r="F50" s="25" t="s">
        <v>5</v>
      </c>
      <c r="G50" s="25" t="s">
        <v>6</v>
      </c>
      <c r="H50" s="25" t="s">
        <v>7</v>
      </c>
      <c r="I50" s="25" t="s">
        <v>8</v>
      </c>
      <c r="J50" s="25" t="s">
        <v>10</v>
      </c>
      <c r="K50" s="25" t="s">
        <v>11</v>
      </c>
      <c r="L50" s="25" t="s">
        <v>40</v>
      </c>
    </row>
    <row r="51" spans="1:12">
      <c r="A51" s="3" t="s">
        <v>25</v>
      </c>
      <c r="B51" s="2">
        <f>B46</f>
        <v>2861025.2899999991</v>
      </c>
      <c r="C51" s="2">
        <f>C46+B51</f>
        <v>10442822.799164999</v>
      </c>
      <c r="D51" s="2">
        <f t="shared" ref="D51:L52" si="21">C51+D46</f>
        <v>25311684.429070003</v>
      </c>
      <c r="E51" s="2">
        <f t="shared" si="21"/>
        <v>48141785.886025012</v>
      </c>
      <c r="F51" s="2">
        <f t="shared" si="21"/>
        <v>70233808.79381001</v>
      </c>
      <c r="G51" s="2">
        <f t="shared" si="21"/>
        <v>101873289.220635</v>
      </c>
      <c r="H51" s="2">
        <f t="shared" si="21"/>
        <v>142376432.84747997</v>
      </c>
      <c r="I51" s="2">
        <f t="shared" si="21"/>
        <v>154812912.15241498</v>
      </c>
      <c r="J51" s="2">
        <f t="shared" si="21"/>
        <v>159652498.95414498</v>
      </c>
      <c r="K51" s="2">
        <f t="shared" si="21"/>
        <v>161665666.61752498</v>
      </c>
      <c r="L51" s="2">
        <f t="shared" si="21"/>
        <v>162450168.83652499</v>
      </c>
    </row>
    <row r="52" spans="1:12">
      <c r="A52" s="3" t="s">
        <v>50</v>
      </c>
      <c r="B52" s="2">
        <f>B47</f>
        <v>4000000</v>
      </c>
      <c r="C52" s="2">
        <f>B52+C47</f>
        <v>16000000</v>
      </c>
      <c r="D52" s="2">
        <f t="shared" si="21"/>
        <v>43500000</v>
      </c>
      <c r="E52" s="2">
        <f t="shared" si="21"/>
        <v>66975000</v>
      </c>
      <c r="F52" s="2">
        <f t="shared" si="21"/>
        <v>91975000</v>
      </c>
      <c r="G52" s="2">
        <f>F52+G47</f>
        <v>119975000</v>
      </c>
      <c r="H52" s="2">
        <f>G52+H47</f>
        <v>141975000</v>
      </c>
      <c r="I52" s="2">
        <f t="shared" si="21"/>
        <v>155775000</v>
      </c>
      <c r="J52" s="2">
        <f t="shared" si="21"/>
        <v>161550000</v>
      </c>
      <c r="K52" s="2">
        <f t="shared" si="21"/>
        <v>161550000</v>
      </c>
      <c r="L52" s="2">
        <f t="shared" si="21"/>
        <v>161550000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Rollup - May23 2019</vt:lpstr>
      <vt:lpstr>April 22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Novakova, Penka N</dc:creator>
  <cp:lastModifiedBy>Vaia Papadimitriou x8207 09467N</cp:lastModifiedBy>
  <cp:lastPrinted>2018-03-20T14:07:29Z</cp:lastPrinted>
  <dcterms:created xsi:type="dcterms:W3CDTF">2018-02-08T14:24:38Z</dcterms:created>
  <dcterms:modified xsi:type="dcterms:W3CDTF">2019-06-14T02:34:32Z</dcterms:modified>
</cp:coreProperties>
</file>