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ocuments\LBNE-LAr-Docs\Systems Engineering\Interface-Integration\"/>
    </mc:Choice>
  </mc:AlternateContent>
  <xr:revisionPtr revIDLastSave="0" documentId="13_ncr:1_{FA31C206-4696-4BFF-8144-241A91D97948}" xr6:coauthVersionLast="41" xr6:coauthVersionMax="41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CORE  2019" sheetId="1" r:id="rId1"/>
    <sheet name="Sheet2" sheetId="6" r:id="rId2"/>
    <sheet name="US accounting  2019" sheetId="3" r:id="rId3"/>
    <sheet name="JPO staff" sheetId="4" r:id="rId4"/>
    <sheet name="Sheet1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5" l="1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G136" i="5"/>
  <c r="D2" i="5"/>
  <c r="D3" i="5"/>
  <c r="D4" i="5"/>
  <c r="D5" i="5"/>
  <c r="D6" i="5"/>
  <c r="D7" i="5"/>
  <c r="G144" i="5"/>
  <c r="D8" i="5"/>
  <c r="D9" i="5"/>
  <c r="D10" i="5"/>
  <c r="D11" i="5"/>
  <c r="D12" i="5"/>
  <c r="D13" i="5"/>
  <c r="D14" i="5"/>
  <c r="D15" i="5"/>
  <c r="G157" i="5"/>
  <c r="G172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34" i="5"/>
  <c r="G40" i="5"/>
  <c r="A34" i="5"/>
  <c r="A35" i="5"/>
  <c r="A36" i="5"/>
  <c r="A37" i="5"/>
  <c r="A38" i="5"/>
  <c r="G48" i="5"/>
  <c r="A39" i="5"/>
  <c r="A40" i="5"/>
  <c r="A41" i="5"/>
  <c r="A42" i="5"/>
  <c r="A43" i="5"/>
  <c r="G56" i="5"/>
  <c r="A44" i="5"/>
  <c r="A45" i="5"/>
  <c r="A46" i="5"/>
  <c r="A47" i="5"/>
  <c r="A48" i="5"/>
  <c r="A49" i="5"/>
  <c r="A50" i="5"/>
  <c r="A51" i="5"/>
  <c r="A52" i="5"/>
  <c r="G71" i="5"/>
  <c r="A53" i="5"/>
  <c r="A54" i="5"/>
  <c r="A55" i="5"/>
  <c r="A56" i="5"/>
  <c r="A57" i="5"/>
  <c r="A58" i="5"/>
  <c r="A59" i="5"/>
  <c r="A60" i="5"/>
  <c r="A61" i="5"/>
  <c r="A62" i="5"/>
  <c r="G83" i="5"/>
  <c r="G9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I140" i="1" l="1"/>
  <c r="I180" i="1"/>
  <c r="J180" i="1" s="1"/>
  <c r="I181" i="1"/>
  <c r="J181" i="1" s="1"/>
  <c r="I182" i="1"/>
  <c r="J182" i="1" s="1"/>
  <c r="I187" i="1"/>
  <c r="J187" i="1" s="1"/>
  <c r="D268" i="3"/>
  <c r="D263" i="3"/>
  <c r="J64" i="1"/>
  <c r="J65" i="1"/>
  <c r="J66" i="1"/>
  <c r="N66" i="1" s="1"/>
  <c r="J67" i="1"/>
  <c r="P67" i="1" s="1"/>
  <c r="J68" i="1"/>
  <c r="J69" i="1"/>
  <c r="P69" i="1" s="1"/>
  <c r="J70" i="1"/>
  <c r="Q70" i="1" s="1"/>
  <c r="J71" i="1"/>
  <c r="N71" i="1" s="1"/>
  <c r="J72" i="1"/>
  <c r="J73" i="1"/>
  <c r="J74" i="1"/>
  <c r="V74" i="1" s="1"/>
  <c r="J75" i="1"/>
  <c r="P75" i="1" s="1"/>
  <c r="J36" i="1"/>
  <c r="R36" i="1"/>
  <c r="J8" i="1"/>
  <c r="O8" i="1" s="1"/>
  <c r="J9" i="1"/>
  <c r="J10" i="1"/>
  <c r="J11" i="1"/>
  <c r="O11" i="1" s="1"/>
  <c r="V11" i="1" s="1"/>
  <c r="J12" i="1"/>
  <c r="J13" i="1"/>
  <c r="P13" i="1" s="1"/>
  <c r="J14" i="1"/>
  <c r="P14" i="1" s="1"/>
  <c r="J15" i="1"/>
  <c r="P15" i="1" s="1"/>
  <c r="J16" i="1"/>
  <c r="P16" i="1" s="1"/>
  <c r="J17" i="1"/>
  <c r="O17" i="1" s="1"/>
  <c r="J18" i="1"/>
  <c r="J19" i="1"/>
  <c r="O19" i="1" s="1"/>
  <c r="J20" i="1"/>
  <c r="O20" i="1" s="1"/>
  <c r="J21" i="1"/>
  <c r="P21" i="1" s="1"/>
  <c r="J22" i="1"/>
  <c r="J23" i="1"/>
  <c r="O23" i="1" s="1"/>
  <c r="V23" i="1" s="1"/>
  <c r="J24" i="1"/>
  <c r="J25" i="1"/>
  <c r="P25" i="1" s="1"/>
  <c r="J26" i="1"/>
  <c r="P26" i="1" s="1"/>
  <c r="J27" i="1"/>
  <c r="P27" i="1" s="1"/>
  <c r="I28" i="1"/>
  <c r="J28" i="1" s="1"/>
  <c r="J29" i="1"/>
  <c r="J30" i="1"/>
  <c r="P30" i="1" s="1"/>
  <c r="V30" i="1" s="1"/>
  <c r="J31" i="1"/>
  <c r="V31" i="1" s="1"/>
  <c r="J32" i="1"/>
  <c r="Q32" i="1" s="1"/>
  <c r="J33" i="1"/>
  <c r="J34" i="1"/>
  <c r="J35" i="1"/>
  <c r="V35" i="1" s="1"/>
  <c r="J37" i="1"/>
  <c r="Q37" i="1" s="1"/>
  <c r="I39" i="1"/>
  <c r="J39" i="1"/>
  <c r="R39" i="1" s="1"/>
  <c r="I45" i="1"/>
  <c r="J45" i="1" s="1"/>
  <c r="J48" i="1"/>
  <c r="J49" i="1"/>
  <c r="J50" i="1"/>
  <c r="N50" i="1" s="1"/>
  <c r="V50" i="1" s="1"/>
  <c r="J51" i="1"/>
  <c r="J52" i="1"/>
  <c r="O52" i="1" s="1"/>
  <c r="R72" i="1"/>
  <c r="J79" i="1"/>
  <c r="Q79" i="1" s="1"/>
  <c r="J80" i="1"/>
  <c r="R80" i="1" s="1"/>
  <c r="J81" i="1"/>
  <c r="R81" i="1"/>
  <c r="J82" i="1"/>
  <c r="R82" i="1" s="1"/>
  <c r="J83" i="1"/>
  <c r="R83" i="1" s="1"/>
  <c r="J84" i="1"/>
  <c r="J88" i="1"/>
  <c r="R88" i="1"/>
  <c r="J97" i="1"/>
  <c r="R97" i="1" s="1"/>
  <c r="J98" i="1"/>
  <c r="R98" i="1" s="1"/>
  <c r="J123" i="1"/>
  <c r="V123" i="1" s="1"/>
  <c r="R123" i="1"/>
  <c r="J124" i="1"/>
  <c r="R124" i="1" s="1"/>
  <c r="J126" i="1"/>
  <c r="R126" i="1"/>
  <c r="J127" i="1"/>
  <c r="Q127" i="1" s="1"/>
  <c r="J128" i="1"/>
  <c r="R128" i="1" s="1"/>
  <c r="J130" i="1"/>
  <c r="V130" i="1" s="1"/>
  <c r="R130" i="1"/>
  <c r="J131" i="1"/>
  <c r="R131" i="1" s="1"/>
  <c r="J106" i="1"/>
  <c r="I107" i="1"/>
  <c r="J107" i="1" s="1"/>
  <c r="J108" i="1"/>
  <c r="O108" i="1" s="1"/>
  <c r="J109" i="1"/>
  <c r="J110" i="1"/>
  <c r="O110" i="1" s="1"/>
  <c r="J112" i="1"/>
  <c r="J115" i="1"/>
  <c r="O115" i="1" s="1"/>
  <c r="V115" i="1" s="1"/>
  <c r="J120" i="1"/>
  <c r="J121" i="1"/>
  <c r="O121" i="1" s="1"/>
  <c r="V121" i="1" s="1"/>
  <c r="J129" i="1"/>
  <c r="P129" i="1" s="1"/>
  <c r="J111" i="1"/>
  <c r="O111" i="1" s="1"/>
  <c r="V111" i="1" s="1"/>
  <c r="J113" i="1"/>
  <c r="J114" i="1"/>
  <c r="O114" i="1" s="1"/>
  <c r="V114" i="1" s="1"/>
  <c r="J116" i="1"/>
  <c r="J117" i="1"/>
  <c r="P117" i="1" s="1"/>
  <c r="J118" i="1"/>
  <c r="P118" i="1" s="1"/>
  <c r="I119" i="1"/>
  <c r="J119" i="1" s="1"/>
  <c r="J122" i="1"/>
  <c r="P122" i="1" s="1"/>
  <c r="J125" i="1"/>
  <c r="S125" i="1" s="1"/>
  <c r="J132" i="1"/>
  <c r="J137" i="1"/>
  <c r="R137" i="1"/>
  <c r="J141" i="1"/>
  <c r="R141" i="1" s="1"/>
  <c r="J144" i="1"/>
  <c r="R144" i="1"/>
  <c r="J161" i="1"/>
  <c r="R161" i="1"/>
  <c r="J152" i="1"/>
  <c r="O152" i="1" s="1"/>
  <c r="J153" i="1"/>
  <c r="O153" i="1" s="1"/>
  <c r="J154" i="1"/>
  <c r="J155" i="1"/>
  <c r="J156" i="1"/>
  <c r="J157" i="1"/>
  <c r="O157" i="1" s="1"/>
  <c r="V157" i="1" s="1"/>
  <c r="J158" i="1"/>
  <c r="J159" i="1"/>
  <c r="O159" i="1" s="1"/>
  <c r="J167" i="1"/>
  <c r="Q167" i="1" s="1"/>
  <c r="R167" i="1"/>
  <c r="J170" i="1"/>
  <c r="T170" i="1" s="1"/>
  <c r="J171" i="1"/>
  <c r="R171" i="1" s="1"/>
  <c r="J174" i="1"/>
  <c r="R174" i="1"/>
  <c r="J175" i="1"/>
  <c r="T175" i="1" s="1"/>
  <c r="I183" i="1"/>
  <c r="J183" i="1"/>
  <c r="R183" i="1" s="1"/>
  <c r="I184" i="1"/>
  <c r="J184" i="1" s="1"/>
  <c r="I190" i="1"/>
  <c r="J190" i="1"/>
  <c r="T190" i="1" s="1"/>
  <c r="R190" i="1"/>
  <c r="I191" i="1"/>
  <c r="J191" i="1" s="1"/>
  <c r="I192" i="1"/>
  <c r="J192" i="1" s="1"/>
  <c r="I193" i="1"/>
  <c r="J193" i="1" s="1"/>
  <c r="J194" i="1"/>
  <c r="R194" i="1" s="1"/>
  <c r="I195" i="1"/>
  <c r="J195" i="1"/>
  <c r="R195" i="1" s="1"/>
  <c r="J196" i="1"/>
  <c r="R196" i="1" s="1"/>
  <c r="S72" i="1"/>
  <c r="S137" i="1"/>
  <c r="S141" i="1"/>
  <c r="S167" i="1"/>
  <c r="S174" i="1"/>
  <c r="S175" i="1"/>
  <c r="S194" i="1"/>
  <c r="S196" i="1"/>
  <c r="Q33" i="1"/>
  <c r="Q34" i="1"/>
  <c r="Q35" i="1"/>
  <c r="Q39" i="1"/>
  <c r="I43" i="1"/>
  <c r="J43" i="1" s="1"/>
  <c r="J44" i="1"/>
  <c r="Q44" i="1" s="1"/>
  <c r="V44" i="1" s="1"/>
  <c r="Q49" i="1"/>
  <c r="Q71" i="1"/>
  <c r="Q72" i="1"/>
  <c r="Q80" i="1"/>
  <c r="Q81" i="1"/>
  <c r="J85" i="1"/>
  <c r="Q85" i="1" s="1"/>
  <c r="J86" i="1"/>
  <c r="Q86" i="1" s="1"/>
  <c r="V86" i="1" s="1"/>
  <c r="J87" i="1"/>
  <c r="P87" i="1" s="1"/>
  <c r="Q87" i="1"/>
  <c r="Q88" i="1"/>
  <c r="V88" i="1" s="1"/>
  <c r="Q123" i="1"/>
  <c r="Q125" i="1"/>
  <c r="Q126" i="1"/>
  <c r="Q129" i="1"/>
  <c r="Q130" i="1"/>
  <c r="J136" i="1"/>
  <c r="Q136" i="1" s="1"/>
  <c r="V136" i="1" s="1"/>
  <c r="Q137" i="1"/>
  <c r="V137" i="1" s="1"/>
  <c r="J138" i="1"/>
  <c r="Q138" i="1" s="1"/>
  <c r="J139" i="1"/>
  <c r="Q139" i="1"/>
  <c r="Q144" i="1"/>
  <c r="Q161" i="1"/>
  <c r="V161" i="1" s="1"/>
  <c r="Q174" i="1"/>
  <c r="Q175" i="1"/>
  <c r="Q194" i="1"/>
  <c r="Q196" i="1"/>
  <c r="L5" i="1"/>
  <c r="J56" i="1"/>
  <c r="J57" i="1"/>
  <c r="N57" i="1" s="1"/>
  <c r="J58" i="1"/>
  <c r="N58" i="1" s="1"/>
  <c r="M58" i="1"/>
  <c r="J59" i="1"/>
  <c r="M59" i="1" s="1"/>
  <c r="J60" i="1"/>
  <c r="M60" i="1" s="1"/>
  <c r="M72" i="1"/>
  <c r="N48" i="1"/>
  <c r="V48" i="1" s="1"/>
  <c r="N49" i="1"/>
  <c r="N60" i="1"/>
  <c r="N64" i="1"/>
  <c r="N68" i="1"/>
  <c r="V68" i="1" s="1"/>
  <c r="N70" i="1"/>
  <c r="N72" i="1"/>
  <c r="N73" i="1"/>
  <c r="V73" i="1" s="1"/>
  <c r="N74" i="1"/>
  <c r="J140" i="1"/>
  <c r="N140" i="1" s="1"/>
  <c r="V140" i="1" s="1"/>
  <c r="J165" i="1"/>
  <c r="N165" i="1" s="1"/>
  <c r="V165" i="1" s="1"/>
  <c r="J166" i="1"/>
  <c r="N166" i="1" s="1"/>
  <c r="N167" i="1"/>
  <c r="J168" i="1"/>
  <c r="N168" i="1"/>
  <c r="J169" i="1"/>
  <c r="N169" i="1" s="1"/>
  <c r="V169" i="1" s="1"/>
  <c r="I172" i="1"/>
  <c r="J172" i="1" s="1"/>
  <c r="J173" i="1"/>
  <c r="N173" i="1" s="1"/>
  <c r="N174" i="1"/>
  <c r="N175" i="1"/>
  <c r="J176" i="1"/>
  <c r="N176" i="1" s="1"/>
  <c r="V176" i="1" s="1"/>
  <c r="J177" i="1"/>
  <c r="N177" i="1"/>
  <c r="O9" i="1"/>
  <c r="O10" i="1"/>
  <c r="O13" i="1"/>
  <c r="O16" i="1"/>
  <c r="O18" i="1"/>
  <c r="V18" i="1" s="1"/>
  <c r="O21" i="1"/>
  <c r="O22" i="1"/>
  <c r="O25" i="1"/>
  <c r="O48" i="1"/>
  <c r="O49" i="1"/>
  <c r="O50" i="1"/>
  <c r="O57" i="1"/>
  <c r="O58" i="1"/>
  <c r="O64" i="1"/>
  <c r="O65" i="1"/>
  <c r="O68" i="1"/>
  <c r="O70" i="1"/>
  <c r="O72" i="1"/>
  <c r="O73" i="1"/>
  <c r="O74" i="1"/>
  <c r="J91" i="1"/>
  <c r="O91" i="1"/>
  <c r="V91" i="1" s="1"/>
  <c r="J92" i="1"/>
  <c r="O92" i="1" s="1"/>
  <c r="J93" i="1"/>
  <c r="P93" i="1" s="1"/>
  <c r="J94" i="1"/>
  <c r="P94" i="1" s="1"/>
  <c r="J95" i="1"/>
  <c r="P95" i="1" s="1"/>
  <c r="J96" i="1"/>
  <c r="O96" i="1" s="1"/>
  <c r="V96" i="1" s="1"/>
  <c r="J99" i="1"/>
  <c r="O99" i="1" s="1"/>
  <c r="J100" i="1"/>
  <c r="O100" i="1" s="1"/>
  <c r="J101" i="1"/>
  <c r="O101" i="1" s="1"/>
  <c r="J102" i="1"/>
  <c r="O102" i="1" s="1"/>
  <c r="J103" i="1"/>
  <c r="O109" i="1"/>
  <c r="O112" i="1"/>
  <c r="O113" i="1"/>
  <c r="O118" i="1"/>
  <c r="O120" i="1"/>
  <c r="O130" i="1"/>
  <c r="O131" i="1"/>
  <c r="O132" i="1"/>
  <c r="O144" i="1"/>
  <c r="J145" i="1"/>
  <c r="O145" i="1" s="1"/>
  <c r="J146" i="1"/>
  <c r="O146" i="1" s="1"/>
  <c r="J147" i="1"/>
  <c r="O147" i="1" s="1"/>
  <c r="I148" i="1"/>
  <c r="J148" i="1" s="1"/>
  <c r="J149" i="1"/>
  <c r="P149" i="1" s="1"/>
  <c r="O155" i="1"/>
  <c r="O156" i="1"/>
  <c r="J160" i="1"/>
  <c r="O160" i="1" s="1"/>
  <c r="O166" i="1"/>
  <c r="O167" i="1"/>
  <c r="O174" i="1"/>
  <c r="O194" i="1"/>
  <c r="O196" i="1"/>
  <c r="P17" i="1"/>
  <c r="P18" i="1"/>
  <c r="P22" i="1"/>
  <c r="P23" i="1"/>
  <c r="P24" i="1"/>
  <c r="P29" i="1"/>
  <c r="V29" i="1" s="1"/>
  <c r="P31" i="1"/>
  <c r="P33" i="1"/>
  <c r="P34" i="1"/>
  <c r="V34" i="1" s="1"/>
  <c r="P35" i="1"/>
  <c r="J42" i="1"/>
  <c r="P42" i="1" s="1"/>
  <c r="V42" i="1" s="1"/>
  <c r="P48" i="1"/>
  <c r="P49" i="1"/>
  <c r="P50" i="1"/>
  <c r="P64" i="1"/>
  <c r="P65" i="1"/>
  <c r="P66" i="1"/>
  <c r="P68" i="1"/>
  <c r="P70" i="1"/>
  <c r="P71" i="1"/>
  <c r="P72" i="1"/>
  <c r="P73" i="1"/>
  <c r="P74" i="1"/>
  <c r="P86" i="1"/>
  <c r="P91" i="1"/>
  <c r="P92" i="1"/>
  <c r="P96" i="1"/>
  <c r="P102" i="1"/>
  <c r="P103" i="1"/>
  <c r="P109" i="1"/>
  <c r="P110" i="1"/>
  <c r="P112" i="1"/>
  <c r="P113" i="1"/>
  <c r="P120" i="1"/>
  <c r="P121" i="1"/>
  <c r="P130" i="1"/>
  <c r="P131" i="1"/>
  <c r="P144" i="1"/>
  <c r="P146" i="1"/>
  <c r="P152" i="1"/>
  <c r="P153" i="1"/>
  <c r="P154" i="1"/>
  <c r="P155" i="1"/>
  <c r="P156" i="1"/>
  <c r="P157" i="1"/>
  <c r="P158" i="1"/>
  <c r="P159" i="1"/>
  <c r="P167" i="1"/>
  <c r="P171" i="1"/>
  <c r="P174" i="1"/>
  <c r="P190" i="1"/>
  <c r="T72" i="1"/>
  <c r="T137" i="1"/>
  <c r="T167" i="1"/>
  <c r="T174" i="1"/>
  <c r="V174" i="1" s="1"/>
  <c r="T196" i="1"/>
  <c r="V177" i="1"/>
  <c r="V168" i="1"/>
  <c r="V156" i="1"/>
  <c r="V155" i="1"/>
  <c r="V144" i="1"/>
  <c r="V139" i="1"/>
  <c r="V132" i="1"/>
  <c r="V126" i="1"/>
  <c r="V120" i="1"/>
  <c r="V113" i="1"/>
  <c r="V109" i="1"/>
  <c r="V87" i="1"/>
  <c r="V81" i="1"/>
  <c r="V72" i="1"/>
  <c r="V64" i="1"/>
  <c r="V49" i="1"/>
  <c r="V37" i="1"/>
  <c r="V36" i="1"/>
  <c r="V33" i="1"/>
  <c r="V25" i="1"/>
  <c r="V22" i="1"/>
  <c r="V21" i="1"/>
  <c r="V16" i="1"/>
  <c r="V13" i="1"/>
  <c r="V10" i="1"/>
  <c r="V9" i="1"/>
  <c r="L4" i="1"/>
  <c r="L3" i="1" s="1"/>
  <c r="E78" i="1"/>
  <c r="E90" i="1"/>
  <c r="E151" i="1"/>
  <c r="K41" i="1"/>
  <c r="K78" i="1"/>
  <c r="K143" i="1"/>
  <c r="E80" i="3"/>
  <c r="F80" i="3"/>
  <c r="G80" i="3"/>
  <c r="H80" i="3"/>
  <c r="I80" i="3"/>
  <c r="J80" i="3"/>
  <c r="K80" i="3"/>
  <c r="L80" i="3"/>
  <c r="Z80" i="3"/>
  <c r="A80" i="3"/>
  <c r="B80" i="3"/>
  <c r="C80" i="3"/>
  <c r="D80" i="3"/>
  <c r="E83" i="3"/>
  <c r="M83" i="3" s="1"/>
  <c r="Z83" i="3"/>
  <c r="F83" i="3"/>
  <c r="H83" i="3"/>
  <c r="I83" i="3"/>
  <c r="J83" i="3"/>
  <c r="L83" i="3"/>
  <c r="A83" i="3"/>
  <c r="B83" i="3"/>
  <c r="C83" i="3"/>
  <c r="D83" i="3"/>
  <c r="Z14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1" i="3"/>
  <c r="Z82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E82" i="3"/>
  <c r="A82" i="3"/>
  <c r="B82" i="3"/>
  <c r="C82" i="3"/>
  <c r="D82" i="3"/>
  <c r="D81" i="3"/>
  <c r="E81" i="3"/>
  <c r="F81" i="3"/>
  <c r="G81" i="3"/>
  <c r="H81" i="3"/>
  <c r="I81" i="3" s="1"/>
  <c r="J81" i="3"/>
  <c r="L81" i="3"/>
  <c r="C81" i="3"/>
  <c r="B81" i="3"/>
  <c r="A81" i="3"/>
  <c r="F36" i="3"/>
  <c r="F47" i="3"/>
  <c r="F53" i="3"/>
  <c r="F51" i="3"/>
  <c r="F169" i="3"/>
  <c r="F168" i="3"/>
  <c r="G168" i="3" s="1"/>
  <c r="J169" i="3"/>
  <c r="J168" i="3"/>
  <c r="J53" i="3"/>
  <c r="J51" i="3"/>
  <c r="J37" i="3"/>
  <c r="J47" i="3"/>
  <c r="J36" i="3"/>
  <c r="E192" i="3"/>
  <c r="M192" i="3" s="1"/>
  <c r="E191" i="3"/>
  <c r="E188" i="3"/>
  <c r="E204" i="3"/>
  <c r="M204" i="3" s="1"/>
  <c r="E203" i="3"/>
  <c r="E202" i="3"/>
  <c r="E198" i="3"/>
  <c r="F198" i="3"/>
  <c r="G198" i="3" s="1"/>
  <c r="H198" i="3"/>
  <c r="J198" i="3"/>
  <c r="F199" i="3"/>
  <c r="H199" i="3"/>
  <c r="J199" i="3"/>
  <c r="F200" i="3"/>
  <c r="H200" i="3"/>
  <c r="J200" i="3"/>
  <c r="F201" i="3"/>
  <c r="H201" i="3"/>
  <c r="J201" i="3"/>
  <c r="F202" i="3"/>
  <c r="H202" i="3"/>
  <c r="J202" i="3"/>
  <c r="F203" i="3"/>
  <c r="G203" i="3" s="1"/>
  <c r="H203" i="3"/>
  <c r="I203" i="3" s="1"/>
  <c r="J203" i="3"/>
  <c r="F204" i="3"/>
  <c r="G204" i="3" s="1"/>
  <c r="H204" i="3"/>
  <c r="I204" i="3" s="1"/>
  <c r="J204" i="3"/>
  <c r="F188" i="3"/>
  <c r="G188" i="3" s="1"/>
  <c r="H188" i="3"/>
  <c r="I188" i="3" s="1"/>
  <c r="J188" i="3"/>
  <c r="F189" i="3"/>
  <c r="H189" i="3"/>
  <c r="J189" i="3"/>
  <c r="F190" i="3"/>
  <c r="H190" i="3"/>
  <c r="J190" i="3"/>
  <c r="F193" i="3"/>
  <c r="H193" i="3"/>
  <c r="F195" i="3"/>
  <c r="H195" i="3"/>
  <c r="J195" i="3"/>
  <c r="F191" i="3"/>
  <c r="G191" i="3" s="1"/>
  <c r="K191" i="3" s="1"/>
  <c r="H191" i="3"/>
  <c r="I191" i="3" s="1"/>
  <c r="J191" i="3"/>
  <c r="M191" i="3"/>
  <c r="F192" i="3"/>
  <c r="G192" i="3" s="1"/>
  <c r="H192" i="3"/>
  <c r="J192" i="3"/>
  <c r="F194" i="3"/>
  <c r="H194" i="3"/>
  <c r="E36" i="3"/>
  <c r="M36" i="3" s="1"/>
  <c r="H36" i="3"/>
  <c r="E47" i="3"/>
  <c r="M47" i="3" s="1"/>
  <c r="G47" i="3"/>
  <c r="H47" i="3"/>
  <c r="I47" i="3" s="1"/>
  <c r="H51" i="3"/>
  <c r="E53" i="3"/>
  <c r="H53" i="3"/>
  <c r="I53" i="3" s="1"/>
  <c r="E168" i="3"/>
  <c r="H168" i="3"/>
  <c r="E169" i="3"/>
  <c r="G169" i="3"/>
  <c r="H169" i="3"/>
  <c r="I169" i="3" s="1"/>
  <c r="M169" i="3"/>
  <c r="F37" i="3"/>
  <c r="E37" i="3"/>
  <c r="H37" i="3"/>
  <c r="L37" i="3"/>
  <c r="M37" i="3"/>
  <c r="F16" i="3"/>
  <c r="G16" i="3" s="1"/>
  <c r="E16" i="3"/>
  <c r="H16" i="3"/>
  <c r="I16" i="3" s="1"/>
  <c r="J16" i="3"/>
  <c r="L16" i="3"/>
  <c r="M16" i="3" s="1"/>
  <c r="F17" i="3"/>
  <c r="E17" i="3"/>
  <c r="H17" i="3"/>
  <c r="J17" i="3"/>
  <c r="L17" i="3"/>
  <c r="F18" i="3"/>
  <c r="G18" i="3" s="1"/>
  <c r="E18" i="3"/>
  <c r="H18" i="3"/>
  <c r="J18" i="3"/>
  <c r="L18" i="3"/>
  <c r="M18" i="3" s="1"/>
  <c r="F19" i="3"/>
  <c r="E19" i="3"/>
  <c r="H19" i="3"/>
  <c r="J19" i="3"/>
  <c r="L19" i="3"/>
  <c r="M19" i="3" s="1"/>
  <c r="F20" i="3"/>
  <c r="E20" i="3"/>
  <c r="M20" i="3" s="1"/>
  <c r="H20" i="3"/>
  <c r="I20" i="3" s="1"/>
  <c r="J20" i="3"/>
  <c r="L20" i="3"/>
  <c r="F21" i="3"/>
  <c r="E21" i="3"/>
  <c r="H21" i="3"/>
  <c r="J21" i="3"/>
  <c r="L21" i="3"/>
  <c r="F22" i="3"/>
  <c r="G22" i="3" s="1"/>
  <c r="E22" i="3"/>
  <c r="H22" i="3"/>
  <c r="J22" i="3"/>
  <c r="L22" i="3"/>
  <c r="M22" i="3" s="1"/>
  <c r="F23" i="3"/>
  <c r="E23" i="3"/>
  <c r="H23" i="3"/>
  <c r="I23" i="3" s="1"/>
  <c r="J23" i="3"/>
  <c r="L23" i="3"/>
  <c r="M23" i="3" s="1"/>
  <c r="F24" i="3"/>
  <c r="G24" i="3" s="1"/>
  <c r="E24" i="3"/>
  <c r="H24" i="3"/>
  <c r="J24" i="3"/>
  <c r="L24" i="3"/>
  <c r="F25" i="3"/>
  <c r="E25" i="3"/>
  <c r="H25" i="3"/>
  <c r="J25" i="3"/>
  <c r="L25" i="3"/>
  <c r="F26" i="3"/>
  <c r="G26" i="3" s="1"/>
  <c r="E26" i="3"/>
  <c r="H26" i="3"/>
  <c r="J26" i="3"/>
  <c r="L26" i="3"/>
  <c r="M26" i="3" s="1"/>
  <c r="F27" i="3"/>
  <c r="E27" i="3"/>
  <c r="H27" i="3"/>
  <c r="I27" i="3" s="1"/>
  <c r="J27" i="3"/>
  <c r="L27" i="3"/>
  <c r="M27" i="3"/>
  <c r="F28" i="3"/>
  <c r="G28" i="3" s="1"/>
  <c r="E28" i="3"/>
  <c r="H28" i="3"/>
  <c r="J28" i="3"/>
  <c r="L28" i="3"/>
  <c r="M28" i="3" s="1"/>
  <c r="F29" i="3"/>
  <c r="E29" i="3"/>
  <c r="H29" i="3"/>
  <c r="I29" i="3" s="1"/>
  <c r="J29" i="3"/>
  <c r="L29" i="3"/>
  <c r="M29" i="3" s="1"/>
  <c r="F30" i="3"/>
  <c r="G30" i="3" s="1"/>
  <c r="E30" i="3"/>
  <c r="H30" i="3"/>
  <c r="J30" i="3"/>
  <c r="L30" i="3"/>
  <c r="F31" i="3"/>
  <c r="E31" i="3"/>
  <c r="I31" i="3" s="1"/>
  <c r="H31" i="3"/>
  <c r="J31" i="3"/>
  <c r="L31" i="3"/>
  <c r="F32" i="3"/>
  <c r="G32" i="3" s="1"/>
  <c r="E32" i="3"/>
  <c r="H32" i="3"/>
  <c r="I32" i="3" s="1"/>
  <c r="J32" i="3"/>
  <c r="L32" i="3"/>
  <c r="F33" i="3"/>
  <c r="E33" i="3"/>
  <c r="H33" i="3"/>
  <c r="I33" i="3" s="1"/>
  <c r="J33" i="3"/>
  <c r="L33" i="3"/>
  <c r="M33" i="3"/>
  <c r="F34" i="3"/>
  <c r="G34" i="3" s="1"/>
  <c r="E34" i="3"/>
  <c r="H34" i="3"/>
  <c r="J34" i="3"/>
  <c r="L34" i="3"/>
  <c r="M34" i="3" s="1"/>
  <c r="F35" i="3"/>
  <c r="E35" i="3"/>
  <c r="H35" i="3"/>
  <c r="I35" i="3" s="1"/>
  <c r="J35" i="3"/>
  <c r="L35" i="3"/>
  <c r="M35" i="3" s="1"/>
  <c r="F38" i="3"/>
  <c r="G38" i="3" s="1"/>
  <c r="E38" i="3"/>
  <c r="H38" i="3"/>
  <c r="J38" i="3"/>
  <c r="L38" i="3"/>
  <c r="F39" i="3"/>
  <c r="E39" i="3"/>
  <c r="H39" i="3"/>
  <c r="J39" i="3"/>
  <c r="L39" i="3"/>
  <c r="F40" i="3"/>
  <c r="E40" i="3"/>
  <c r="H40" i="3"/>
  <c r="I40" i="3" s="1"/>
  <c r="J40" i="3"/>
  <c r="L40" i="3"/>
  <c r="F41" i="3"/>
  <c r="E41" i="3"/>
  <c r="H41" i="3"/>
  <c r="J41" i="3"/>
  <c r="L41" i="3"/>
  <c r="F42" i="3"/>
  <c r="G42" i="3" s="1"/>
  <c r="E42" i="3"/>
  <c r="H42" i="3"/>
  <c r="J42" i="3"/>
  <c r="L42" i="3"/>
  <c r="M42" i="3" s="1"/>
  <c r="F43" i="3"/>
  <c r="E43" i="3"/>
  <c r="H43" i="3"/>
  <c r="I43" i="3" s="1"/>
  <c r="J43" i="3"/>
  <c r="L43" i="3"/>
  <c r="M43" i="3" s="1"/>
  <c r="F44" i="3"/>
  <c r="G44" i="3" s="1"/>
  <c r="E44" i="3"/>
  <c r="H44" i="3"/>
  <c r="J44" i="3"/>
  <c r="L44" i="3"/>
  <c r="F45" i="3"/>
  <c r="E45" i="3"/>
  <c r="H45" i="3"/>
  <c r="J45" i="3"/>
  <c r="L45" i="3"/>
  <c r="F46" i="3"/>
  <c r="H46" i="3"/>
  <c r="J46" i="3"/>
  <c r="L46" i="3"/>
  <c r="F50" i="3"/>
  <c r="G50" i="3" s="1"/>
  <c r="E50" i="3"/>
  <c r="H50" i="3"/>
  <c r="I50" i="3"/>
  <c r="J50" i="3"/>
  <c r="L50" i="3"/>
  <c r="M50" i="3" s="1"/>
  <c r="F52" i="3"/>
  <c r="E52" i="3"/>
  <c r="G52" i="3" s="1"/>
  <c r="H52" i="3"/>
  <c r="J52" i="3"/>
  <c r="L52" i="3"/>
  <c r="F56" i="3"/>
  <c r="G56" i="3" s="1"/>
  <c r="E56" i="3"/>
  <c r="H56" i="3"/>
  <c r="I56" i="3" s="1"/>
  <c r="J56" i="3"/>
  <c r="L56" i="3"/>
  <c r="M56" i="3" s="1"/>
  <c r="F57" i="3"/>
  <c r="E57" i="3"/>
  <c r="H57" i="3"/>
  <c r="I57" i="3" s="1"/>
  <c r="J57" i="3"/>
  <c r="L57" i="3"/>
  <c r="M57" i="3" s="1"/>
  <c r="F58" i="3"/>
  <c r="G58" i="3" s="1"/>
  <c r="E58" i="3"/>
  <c r="H58" i="3"/>
  <c r="J58" i="3"/>
  <c r="L58" i="3"/>
  <c r="M58" i="3" s="1"/>
  <c r="F59" i="3"/>
  <c r="E59" i="3"/>
  <c r="H59" i="3"/>
  <c r="J59" i="3"/>
  <c r="L59" i="3"/>
  <c r="F60" i="3"/>
  <c r="E60" i="3"/>
  <c r="H60" i="3"/>
  <c r="I60" i="3" s="1"/>
  <c r="J60" i="3"/>
  <c r="L60" i="3"/>
  <c r="M60" i="3" s="1"/>
  <c r="F61" i="3"/>
  <c r="H61" i="3"/>
  <c r="J61" i="3"/>
  <c r="L61" i="3"/>
  <c r="F87" i="3"/>
  <c r="E87" i="3"/>
  <c r="G87" i="3"/>
  <c r="H87" i="3"/>
  <c r="J87" i="3"/>
  <c r="L87" i="3"/>
  <c r="F88" i="3"/>
  <c r="G88" i="3" s="1"/>
  <c r="E88" i="3"/>
  <c r="M88" i="3" s="1"/>
  <c r="H88" i="3"/>
  <c r="I88" i="3"/>
  <c r="J88" i="3"/>
  <c r="L88" i="3"/>
  <c r="F89" i="3"/>
  <c r="G89" i="3" s="1"/>
  <c r="E89" i="3"/>
  <c r="H89" i="3"/>
  <c r="J89" i="3"/>
  <c r="L89" i="3"/>
  <c r="F90" i="3"/>
  <c r="G90" i="3" s="1"/>
  <c r="E90" i="3"/>
  <c r="H90" i="3"/>
  <c r="I90" i="3" s="1"/>
  <c r="J90" i="3"/>
  <c r="L90" i="3"/>
  <c r="M90" i="3" s="1"/>
  <c r="F91" i="3"/>
  <c r="E91" i="3"/>
  <c r="H91" i="3"/>
  <c r="J91" i="3"/>
  <c r="L91" i="3"/>
  <c r="M91" i="3" s="1"/>
  <c r="F92" i="3"/>
  <c r="E92" i="3"/>
  <c r="H92" i="3"/>
  <c r="I92" i="3" s="1"/>
  <c r="J92" i="3"/>
  <c r="L92" i="3"/>
  <c r="M92" i="3" s="1"/>
  <c r="F93" i="3"/>
  <c r="E93" i="3"/>
  <c r="H93" i="3"/>
  <c r="J93" i="3"/>
  <c r="L93" i="3"/>
  <c r="F94" i="3"/>
  <c r="E94" i="3"/>
  <c r="G94" i="3"/>
  <c r="H94" i="3"/>
  <c r="I94" i="3" s="1"/>
  <c r="J94" i="3"/>
  <c r="L94" i="3"/>
  <c r="M94" i="3"/>
  <c r="F114" i="3"/>
  <c r="G114" i="3" s="1"/>
  <c r="E114" i="3"/>
  <c r="H114" i="3"/>
  <c r="I114" i="3"/>
  <c r="J114" i="3"/>
  <c r="L114" i="3"/>
  <c r="M114" i="3" s="1"/>
  <c r="F115" i="3"/>
  <c r="H115" i="3"/>
  <c r="J115" i="3"/>
  <c r="L115" i="3"/>
  <c r="F116" i="3"/>
  <c r="E116" i="3"/>
  <c r="H116" i="3"/>
  <c r="J116" i="3"/>
  <c r="L116" i="3"/>
  <c r="F117" i="3"/>
  <c r="E117" i="3"/>
  <c r="H117" i="3"/>
  <c r="I117" i="3" s="1"/>
  <c r="J117" i="3"/>
  <c r="L117" i="3"/>
  <c r="M117" i="3" s="1"/>
  <c r="F118" i="3"/>
  <c r="E118" i="3"/>
  <c r="H118" i="3"/>
  <c r="I118" i="3" s="1"/>
  <c r="J118" i="3"/>
  <c r="L118" i="3"/>
  <c r="F119" i="3"/>
  <c r="E119" i="3"/>
  <c r="G119" i="3" s="1"/>
  <c r="H119" i="3"/>
  <c r="J119" i="3"/>
  <c r="L119" i="3"/>
  <c r="F120" i="3"/>
  <c r="G120" i="3" s="1"/>
  <c r="E120" i="3"/>
  <c r="H120" i="3"/>
  <c r="I120" i="3"/>
  <c r="J120" i="3"/>
  <c r="L120" i="3"/>
  <c r="M120" i="3" s="1"/>
  <c r="F121" i="3"/>
  <c r="E121" i="3"/>
  <c r="G121" i="3" s="1"/>
  <c r="H121" i="3"/>
  <c r="J121" i="3"/>
  <c r="L121" i="3"/>
  <c r="F122" i="3"/>
  <c r="E122" i="3"/>
  <c r="H122" i="3"/>
  <c r="J122" i="3"/>
  <c r="L122" i="3"/>
  <c r="F123" i="3"/>
  <c r="E123" i="3"/>
  <c r="G123" i="3" s="1"/>
  <c r="H123" i="3"/>
  <c r="J123" i="3"/>
  <c r="L123" i="3"/>
  <c r="M123" i="3" s="1"/>
  <c r="F124" i="3"/>
  <c r="E124" i="3"/>
  <c r="M124" i="3" s="1"/>
  <c r="H124" i="3"/>
  <c r="J124" i="3"/>
  <c r="L124" i="3"/>
  <c r="F125" i="3"/>
  <c r="G125" i="3" s="1"/>
  <c r="K125" i="3" s="1"/>
  <c r="E125" i="3"/>
  <c r="H125" i="3"/>
  <c r="I125" i="3" s="1"/>
  <c r="J125" i="3"/>
  <c r="L125" i="3"/>
  <c r="M125" i="3" s="1"/>
  <c r="F126" i="3"/>
  <c r="E126" i="3"/>
  <c r="H126" i="3"/>
  <c r="I126" i="3" s="1"/>
  <c r="J126" i="3"/>
  <c r="L126" i="3"/>
  <c r="F127" i="3"/>
  <c r="H127" i="3"/>
  <c r="J127" i="3"/>
  <c r="L127" i="3"/>
  <c r="F128" i="3"/>
  <c r="E128" i="3"/>
  <c r="H128" i="3"/>
  <c r="I128" i="3" s="1"/>
  <c r="J128" i="3"/>
  <c r="L128" i="3"/>
  <c r="M128" i="3"/>
  <c r="F129" i="3"/>
  <c r="G129" i="3" s="1"/>
  <c r="E129" i="3"/>
  <c r="H129" i="3"/>
  <c r="I129" i="3" s="1"/>
  <c r="J129" i="3"/>
  <c r="L129" i="3"/>
  <c r="M129" i="3"/>
  <c r="F130" i="3"/>
  <c r="E130" i="3"/>
  <c r="H130" i="3"/>
  <c r="I130" i="3" s="1"/>
  <c r="J130" i="3"/>
  <c r="L130" i="3"/>
  <c r="F131" i="3"/>
  <c r="E131" i="3"/>
  <c r="G131" i="3" s="1"/>
  <c r="H131" i="3"/>
  <c r="J131" i="3"/>
  <c r="L131" i="3"/>
  <c r="M131" i="3" s="1"/>
  <c r="F132" i="3"/>
  <c r="E132" i="3"/>
  <c r="H132" i="3"/>
  <c r="I132" i="3"/>
  <c r="J132" i="3"/>
  <c r="L132" i="3"/>
  <c r="M132" i="3" s="1"/>
  <c r="F133" i="3"/>
  <c r="E133" i="3"/>
  <c r="H133" i="3"/>
  <c r="J133" i="3"/>
  <c r="L133" i="3"/>
  <c r="F134" i="3"/>
  <c r="E134" i="3"/>
  <c r="G134" i="3" s="1"/>
  <c r="H134" i="3"/>
  <c r="J134" i="3"/>
  <c r="L134" i="3"/>
  <c r="M134" i="3"/>
  <c r="F135" i="3"/>
  <c r="G135" i="3" s="1"/>
  <c r="E135" i="3"/>
  <c r="H135" i="3"/>
  <c r="J135" i="3"/>
  <c r="L135" i="3"/>
  <c r="M135" i="3" s="1"/>
  <c r="F136" i="3"/>
  <c r="G136" i="3" s="1"/>
  <c r="E136" i="3"/>
  <c r="H136" i="3"/>
  <c r="I136" i="3" s="1"/>
  <c r="J136" i="3"/>
  <c r="L136" i="3"/>
  <c r="F137" i="3"/>
  <c r="E137" i="3"/>
  <c r="H137" i="3"/>
  <c r="J137" i="3"/>
  <c r="L137" i="3"/>
  <c r="F138" i="3"/>
  <c r="E138" i="3"/>
  <c r="H138" i="3"/>
  <c r="I138" i="3" s="1"/>
  <c r="J138" i="3"/>
  <c r="L138" i="3"/>
  <c r="M138" i="3" s="1"/>
  <c r="F139" i="3"/>
  <c r="G139" i="3" s="1"/>
  <c r="E139" i="3"/>
  <c r="H139" i="3"/>
  <c r="J139" i="3"/>
  <c r="L139" i="3"/>
  <c r="M139" i="3" s="1"/>
  <c r="F140" i="3"/>
  <c r="E140" i="3"/>
  <c r="G140" i="3" s="1"/>
  <c r="H140" i="3"/>
  <c r="J140" i="3"/>
  <c r="L140" i="3"/>
  <c r="F141" i="3"/>
  <c r="H141" i="3"/>
  <c r="J141" i="3"/>
  <c r="L141" i="3"/>
  <c r="F142" i="3"/>
  <c r="H142" i="3"/>
  <c r="J142" i="3"/>
  <c r="L142" i="3"/>
  <c r="F143" i="3"/>
  <c r="H143" i="3"/>
  <c r="J143" i="3"/>
  <c r="L143" i="3"/>
  <c r="F144" i="3"/>
  <c r="E144" i="3"/>
  <c r="H144" i="3"/>
  <c r="I144" i="3"/>
  <c r="J144" i="3"/>
  <c r="L144" i="3"/>
  <c r="F145" i="3"/>
  <c r="E145" i="3"/>
  <c r="G145" i="3"/>
  <c r="H145" i="3"/>
  <c r="I145" i="3" s="1"/>
  <c r="J145" i="3"/>
  <c r="K145" i="3"/>
  <c r="L145" i="3"/>
  <c r="M145" i="3" s="1"/>
  <c r="F146" i="3"/>
  <c r="E146" i="3"/>
  <c r="G146" i="3" s="1"/>
  <c r="H146" i="3"/>
  <c r="J146" i="3"/>
  <c r="L146" i="3"/>
  <c r="M146" i="3"/>
  <c r="F147" i="3"/>
  <c r="G147" i="3" s="1"/>
  <c r="E147" i="3"/>
  <c r="H147" i="3"/>
  <c r="I147" i="3" s="1"/>
  <c r="J147" i="3"/>
  <c r="L147" i="3"/>
  <c r="M147" i="3" s="1"/>
  <c r="F148" i="3"/>
  <c r="G148" i="3" s="1"/>
  <c r="E148" i="3"/>
  <c r="H148" i="3"/>
  <c r="J148" i="3"/>
  <c r="L148" i="3"/>
  <c r="F149" i="3"/>
  <c r="E149" i="3"/>
  <c r="G149" i="3"/>
  <c r="H149" i="3"/>
  <c r="I149" i="3" s="1"/>
  <c r="J149" i="3"/>
  <c r="L149" i="3"/>
  <c r="M149" i="3" s="1"/>
  <c r="F152" i="3"/>
  <c r="G152" i="3" s="1"/>
  <c r="E152" i="3"/>
  <c r="H152" i="3"/>
  <c r="I152" i="3" s="1"/>
  <c r="J152" i="3"/>
  <c r="L152" i="3"/>
  <c r="M152" i="3" s="1"/>
  <c r="F153" i="3"/>
  <c r="E153" i="3"/>
  <c r="H153" i="3"/>
  <c r="I153" i="3" s="1"/>
  <c r="J153" i="3"/>
  <c r="L153" i="3"/>
  <c r="F154" i="3"/>
  <c r="G154" i="3" s="1"/>
  <c r="E154" i="3"/>
  <c r="H154" i="3"/>
  <c r="I154" i="3" s="1"/>
  <c r="J154" i="3"/>
  <c r="L154" i="3"/>
  <c r="M154" i="3" s="1"/>
  <c r="F155" i="3"/>
  <c r="E155" i="3"/>
  <c r="G155" i="3" s="1"/>
  <c r="H155" i="3"/>
  <c r="J155" i="3"/>
  <c r="L155" i="3"/>
  <c r="M155" i="3"/>
  <c r="F156" i="3"/>
  <c r="G156" i="3" s="1"/>
  <c r="E156" i="3"/>
  <c r="H156" i="3"/>
  <c r="I156" i="3" s="1"/>
  <c r="J156" i="3"/>
  <c r="L156" i="3"/>
  <c r="M156" i="3" s="1"/>
  <c r="F157" i="3"/>
  <c r="E157" i="3"/>
  <c r="G157" i="3" s="1"/>
  <c r="H157" i="3"/>
  <c r="J157" i="3"/>
  <c r="L157" i="3"/>
  <c r="F160" i="3"/>
  <c r="E160" i="3"/>
  <c r="H160" i="3"/>
  <c r="J160" i="3"/>
  <c r="L160" i="3"/>
  <c r="F161" i="3"/>
  <c r="E161" i="3"/>
  <c r="G161" i="3"/>
  <c r="H161" i="3"/>
  <c r="I161" i="3" s="1"/>
  <c r="J161" i="3"/>
  <c r="L161" i="3"/>
  <c r="F162" i="3"/>
  <c r="G162" i="3" s="1"/>
  <c r="E162" i="3"/>
  <c r="H162" i="3"/>
  <c r="I162" i="3"/>
  <c r="J162" i="3"/>
  <c r="L162" i="3"/>
  <c r="M162" i="3" s="1"/>
  <c r="F163" i="3"/>
  <c r="G163" i="3" s="1"/>
  <c r="E163" i="3"/>
  <c r="H163" i="3"/>
  <c r="I163" i="3"/>
  <c r="J163" i="3"/>
  <c r="L163" i="3"/>
  <c r="M163" i="3" s="1"/>
  <c r="F164" i="3"/>
  <c r="G164" i="3" s="1"/>
  <c r="E164" i="3"/>
  <c r="H164" i="3"/>
  <c r="I164" i="3" s="1"/>
  <c r="J164" i="3"/>
  <c r="L164" i="3"/>
  <c r="M164" i="3" s="1"/>
  <c r="F165" i="3"/>
  <c r="E165" i="3"/>
  <c r="H165" i="3"/>
  <c r="J165" i="3"/>
  <c r="L165" i="3"/>
  <c r="F166" i="3"/>
  <c r="G166" i="3" s="1"/>
  <c r="E166" i="3"/>
  <c r="H166" i="3"/>
  <c r="I166" i="3" s="1"/>
  <c r="J166" i="3"/>
  <c r="L166" i="3"/>
  <c r="F167" i="3"/>
  <c r="E167" i="3"/>
  <c r="G167" i="3"/>
  <c r="H167" i="3"/>
  <c r="I167" i="3" s="1"/>
  <c r="J167" i="3"/>
  <c r="L167" i="3"/>
  <c r="F170" i="3"/>
  <c r="H170" i="3"/>
  <c r="J170" i="3"/>
  <c r="L170" i="3"/>
  <c r="F173" i="3"/>
  <c r="E173" i="3"/>
  <c r="G173" i="3"/>
  <c r="H173" i="3"/>
  <c r="I173" i="3" s="1"/>
  <c r="J173" i="3"/>
  <c r="L173" i="3"/>
  <c r="M173" i="3"/>
  <c r="F174" i="3"/>
  <c r="E174" i="3"/>
  <c r="H174" i="3"/>
  <c r="J174" i="3"/>
  <c r="L174" i="3"/>
  <c r="M174" i="3" s="1"/>
  <c r="F175" i="3"/>
  <c r="E175" i="3"/>
  <c r="H175" i="3"/>
  <c r="J175" i="3"/>
  <c r="L175" i="3"/>
  <c r="F176" i="3"/>
  <c r="G176" i="3" s="1"/>
  <c r="E176" i="3"/>
  <c r="H176" i="3"/>
  <c r="J176" i="3"/>
  <c r="L176" i="3"/>
  <c r="M176" i="3" s="1"/>
  <c r="F177" i="3"/>
  <c r="G177" i="3" s="1"/>
  <c r="E177" i="3"/>
  <c r="H177" i="3"/>
  <c r="I177" i="3" s="1"/>
  <c r="J177" i="3"/>
  <c r="L177" i="3"/>
  <c r="F178" i="3"/>
  <c r="E178" i="3"/>
  <c r="G178" i="3"/>
  <c r="H178" i="3"/>
  <c r="I178" i="3" s="1"/>
  <c r="J178" i="3"/>
  <c r="L178" i="3"/>
  <c r="M178" i="3" s="1"/>
  <c r="F179" i="3"/>
  <c r="E179" i="3"/>
  <c r="H179" i="3"/>
  <c r="I179" i="3"/>
  <c r="J179" i="3"/>
  <c r="L179" i="3"/>
  <c r="M179" i="3" s="1"/>
  <c r="F180" i="3"/>
  <c r="E180" i="3"/>
  <c r="G180" i="3" s="1"/>
  <c r="H180" i="3"/>
  <c r="J180" i="3"/>
  <c r="L180" i="3"/>
  <c r="M180" i="3" s="1"/>
  <c r="F181" i="3"/>
  <c r="E181" i="3"/>
  <c r="H181" i="3"/>
  <c r="J181" i="3"/>
  <c r="L181" i="3"/>
  <c r="M181" i="3" s="1"/>
  <c r="F182" i="3"/>
  <c r="E182" i="3"/>
  <c r="H182" i="3"/>
  <c r="J182" i="3"/>
  <c r="L182" i="3"/>
  <c r="F183" i="3"/>
  <c r="G183" i="3" s="1"/>
  <c r="E183" i="3"/>
  <c r="H183" i="3"/>
  <c r="J183" i="3"/>
  <c r="L183" i="3"/>
  <c r="F184" i="3"/>
  <c r="E184" i="3"/>
  <c r="G184" i="3"/>
  <c r="H184" i="3"/>
  <c r="I184" i="3" s="1"/>
  <c r="J184" i="3"/>
  <c r="L184" i="3"/>
  <c r="M184" i="3" s="1"/>
  <c r="F185" i="3"/>
  <c r="E185" i="3"/>
  <c r="H185" i="3"/>
  <c r="I185" i="3"/>
  <c r="J185" i="3"/>
  <c r="L185" i="3"/>
  <c r="F99" i="3"/>
  <c r="E99" i="3"/>
  <c r="G99" i="3" s="1"/>
  <c r="H99" i="3"/>
  <c r="J99" i="3"/>
  <c r="L99" i="3"/>
  <c r="F100" i="3"/>
  <c r="E100" i="3"/>
  <c r="H100" i="3"/>
  <c r="I100" i="3" s="1"/>
  <c r="J100" i="3"/>
  <c r="L100" i="3"/>
  <c r="M100" i="3"/>
  <c r="F101" i="3"/>
  <c r="G101" i="3" s="1"/>
  <c r="E101" i="3"/>
  <c r="H101" i="3"/>
  <c r="I101" i="3" s="1"/>
  <c r="J101" i="3"/>
  <c r="L101" i="3"/>
  <c r="M101" i="3"/>
  <c r="F102" i="3"/>
  <c r="E102" i="3"/>
  <c r="H102" i="3"/>
  <c r="J102" i="3"/>
  <c r="L102" i="3"/>
  <c r="F103" i="3"/>
  <c r="G103" i="3" s="1"/>
  <c r="E103" i="3"/>
  <c r="H103" i="3"/>
  <c r="I103" i="3" s="1"/>
  <c r="J103" i="3"/>
  <c r="L103" i="3"/>
  <c r="F104" i="3"/>
  <c r="E104" i="3"/>
  <c r="G104" i="3" s="1"/>
  <c r="H104" i="3"/>
  <c r="J104" i="3"/>
  <c r="L104" i="3"/>
  <c r="F105" i="3"/>
  <c r="E105" i="3"/>
  <c r="G105" i="3"/>
  <c r="H105" i="3"/>
  <c r="I105" i="3" s="1"/>
  <c r="J105" i="3"/>
  <c r="L105" i="3"/>
  <c r="M105" i="3" s="1"/>
  <c r="F106" i="3"/>
  <c r="E106" i="3"/>
  <c r="H106" i="3"/>
  <c r="I106" i="3"/>
  <c r="J106" i="3"/>
  <c r="L106" i="3"/>
  <c r="M106" i="3"/>
  <c r="F107" i="3"/>
  <c r="E107" i="3"/>
  <c r="G107" i="3"/>
  <c r="K107" i="3" s="1"/>
  <c r="H107" i="3"/>
  <c r="I107" i="3" s="1"/>
  <c r="N107" i="3" s="1"/>
  <c r="J107" i="3"/>
  <c r="L107" i="3"/>
  <c r="M107" i="3" s="1"/>
  <c r="F108" i="3"/>
  <c r="E108" i="3"/>
  <c r="H108" i="3"/>
  <c r="J108" i="3"/>
  <c r="L108" i="3"/>
  <c r="F109" i="3"/>
  <c r="E109" i="3"/>
  <c r="G109" i="3"/>
  <c r="H109" i="3"/>
  <c r="I109" i="3" s="1"/>
  <c r="J109" i="3"/>
  <c r="L109" i="3"/>
  <c r="F110" i="3"/>
  <c r="G110" i="3" s="1"/>
  <c r="E110" i="3"/>
  <c r="H110" i="3"/>
  <c r="I110" i="3"/>
  <c r="J110" i="3"/>
  <c r="L110" i="3"/>
  <c r="F111" i="3"/>
  <c r="E111" i="3"/>
  <c r="G111" i="3" s="1"/>
  <c r="H111" i="3"/>
  <c r="J111" i="3"/>
  <c r="L111" i="3"/>
  <c r="F95" i="3"/>
  <c r="E95" i="3"/>
  <c r="M95" i="3" s="1"/>
  <c r="H95" i="3"/>
  <c r="J95" i="3"/>
  <c r="L95" i="3"/>
  <c r="F96" i="3"/>
  <c r="E96" i="3"/>
  <c r="H96" i="3"/>
  <c r="J96" i="3"/>
  <c r="L96" i="3"/>
  <c r="M96" i="3" s="1"/>
  <c r="F72" i="3"/>
  <c r="E72" i="3"/>
  <c r="G72" i="3" s="1"/>
  <c r="H72" i="3"/>
  <c r="J72" i="3"/>
  <c r="L72" i="3"/>
  <c r="F73" i="3"/>
  <c r="G73" i="3" s="1"/>
  <c r="E73" i="3"/>
  <c r="H73" i="3"/>
  <c r="J73" i="3"/>
  <c r="L73" i="3"/>
  <c r="F74" i="3"/>
  <c r="E74" i="3"/>
  <c r="G74" i="3"/>
  <c r="H74" i="3"/>
  <c r="I74" i="3" s="1"/>
  <c r="J74" i="3"/>
  <c r="L74" i="3"/>
  <c r="F75" i="3"/>
  <c r="G75" i="3" s="1"/>
  <c r="E75" i="3"/>
  <c r="H75" i="3"/>
  <c r="I75" i="3"/>
  <c r="J75" i="3"/>
  <c r="L75" i="3"/>
  <c r="F76" i="3"/>
  <c r="E76" i="3"/>
  <c r="G76" i="3" s="1"/>
  <c r="H76" i="3"/>
  <c r="J76" i="3"/>
  <c r="L76" i="3"/>
  <c r="F77" i="3"/>
  <c r="E77" i="3"/>
  <c r="H77" i="3"/>
  <c r="I77" i="3" s="1"/>
  <c r="J77" i="3"/>
  <c r="L77" i="3"/>
  <c r="M77" i="3" s="1"/>
  <c r="F78" i="3"/>
  <c r="E78" i="3"/>
  <c r="G78" i="3" s="1"/>
  <c r="H78" i="3"/>
  <c r="J78" i="3"/>
  <c r="L78" i="3"/>
  <c r="M78" i="3" s="1"/>
  <c r="F79" i="3"/>
  <c r="E79" i="3"/>
  <c r="H79" i="3"/>
  <c r="J79" i="3"/>
  <c r="L79" i="3"/>
  <c r="F82" i="3"/>
  <c r="G82" i="3"/>
  <c r="H82" i="3"/>
  <c r="I82" i="3" s="1"/>
  <c r="J82" i="3"/>
  <c r="L82" i="3"/>
  <c r="M82" i="3" s="1"/>
  <c r="F84" i="3"/>
  <c r="H84" i="3"/>
  <c r="J84" i="3"/>
  <c r="L84" i="3"/>
  <c r="F64" i="3"/>
  <c r="E64" i="3"/>
  <c r="G64" i="3"/>
  <c r="H64" i="3"/>
  <c r="I64" i="3" s="1"/>
  <c r="K64" i="3" s="1"/>
  <c r="J64" i="3"/>
  <c r="L64" i="3"/>
  <c r="M64" i="3" s="1"/>
  <c r="F65" i="3"/>
  <c r="E65" i="3"/>
  <c r="H65" i="3"/>
  <c r="I65" i="3" s="1"/>
  <c r="J65" i="3"/>
  <c r="L65" i="3"/>
  <c r="M65" i="3"/>
  <c r="F66" i="3"/>
  <c r="G66" i="3" s="1"/>
  <c r="E66" i="3"/>
  <c r="H66" i="3"/>
  <c r="I66" i="3" s="1"/>
  <c r="J66" i="3"/>
  <c r="L66" i="3"/>
  <c r="M66" i="3"/>
  <c r="F67" i="3"/>
  <c r="E67" i="3"/>
  <c r="H67" i="3"/>
  <c r="J67" i="3"/>
  <c r="L67" i="3"/>
  <c r="F68" i="3"/>
  <c r="G68" i="3" s="1"/>
  <c r="E68" i="3"/>
  <c r="H68" i="3"/>
  <c r="I68" i="3" s="1"/>
  <c r="J68" i="3"/>
  <c r="L68" i="3"/>
  <c r="F69" i="3"/>
  <c r="H69" i="3"/>
  <c r="J69" i="3"/>
  <c r="L69" i="3"/>
  <c r="E97" i="3"/>
  <c r="D170" i="3"/>
  <c r="Q19" i="4"/>
  <c r="Q18" i="4"/>
  <c r="Q17" i="4"/>
  <c r="Q16" i="4"/>
  <c r="C111" i="3"/>
  <c r="C110" i="3"/>
  <c r="C109" i="3"/>
  <c r="C108" i="3"/>
  <c r="C107" i="3"/>
  <c r="C106" i="3"/>
  <c r="D111" i="3"/>
  <c r="B111" i="3"/>
  <c r="A111" i="3"/>
  <c r="D110" i="3"/>
  <c r="B110" i="3"/>
  <c r="A110" i="3"/>
  <c r="D109" i="3"/>
  <c r="B109" i="3"/>
  <c r="A109" i="3"/>
  <c r="D108" i="3"/>
  <c r="B108" i="3"/>
  <c r="A108" i="3"/>
  <c r="D107" i="3"/>
  <c r="B107" i="3"/>
  <c r="A107" i="3"/>
  <c r="D106" i="3"/>
  <c r="B106" i="3"/>
  <c r="A106" i="3"/>
  <c r="Q23" i="4"/>
  <c r="Q22" i="4"/>
  <c r="Q21" i="4"/>
  <c r="Q20" i="4"/>
  <c r="Q12" i="4"/>
  <c r="Q11" i="4"/>
  <c r="Q10" i="4"/>
  <c r="Q9" i="4"/>
  <c r="Q8" i="4"/>
  <c r="Q7" i="4"/>
  <c r="Q26" i="4" s="1"/>
  <c r="Q6" i="4"/>
  <c r="O26" i="4"/>
  <c r="N26" i="4"/>
  <c r="M26" i="4"/>
  <c r="L26" i="4"/>
  <c r="K26" i="4"/>
  <c r="J26" i="4"/>
  <c r="I26" i="4"/>
  <c r="H26" i="4"/>
  <c r="G26" i="4"/>
  <c r="F26" i="4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185" i="3"/>
  <c r="B185" i="3"/>
  <c r="C185" i="3"/>
  <c r="D185" i="3"/>
  <c r="B47" i="3"/>
  <c r="B44" i="3"/>
  <c r="D264" i="3"/>
  <c r="D265" i="3"/>
  <c r="D266" i="3"/>
  <c r="O11" i="3"/>
  <c r="O10" i="3"/>
  <c r="E14" i="3"/>
  <c r="E15" i="3"/>
  <c r="A14" i="3"/>
  <c r="B14" i="3"/>
  <c r="C14" i="3"/>
  <c r="D14" i="3"/>
  <c r="B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C44" i="3"/>
  <c r="D44" i="3"/>
  <c r="A45" i="3"/>
  <c r="B45" i="3"/>
  <c r="C45" i="3"/>
  <c r="D45" i="3"/>
  <c r="A46" i="3"/>
  <c r="B46" i="3"/>
  <c r="C46" i="3"/>
  <c r="D46" i="3"/>
  <c r="A47" i="3"/>
  <c r="C47" i="3"/>
  <c r="D47" i="3"/>
  <c r="B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B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B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B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4" i="3"/>
  <c r="B84" i="3"/>
  <c r="C84" i="3"/>
  <c r="D84" i="3"/>
  <c r="B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B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B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B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B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B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B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B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V112" i="1"/>
  <c r="O9" i="3"/>
  <c r="R107" i="3" l="1"/>
  <c r="Y107" i="3" s="1"/>
  <c r="S107" i="3"/>
  <c r="N105" i="3"/>
  <c r="R105" i="3" s="1"/>
  <c r="M140" i="3"/>
  <c r="M31" i="3"/>
  <c r="G77" i="3"/>
  <c r="K77" i="3" s="1"/>
  <c r="I76" i="3"/>
  <c r="N76" i="3" s="1"/>
  <c r="M72" i="3"/>
  <c r="I72" i="3"/>
  <c r="K72" i="3" s="1"/>
  <c r="G95" i="3"/>
  <c r="I111" i="3"/>
  <c r="K111" i="3" s="1"/>
  <c r="N111" i="3" s="1"/>
  <c r="K105" i="3"/>
  <c r="I104" i="3"/>
  <c r="K162" i="3"/>
  <c r="M160" i="3"/>
  <c r="G160" i="3"/>
  <c r="M133" i="3"/>
  <c r="M119" i="3"/>
  <c r="K88" i="3"/>
  <c r="N88" i="3" s="1"/>
  <c r="M39" i="3"/>
  <c r="I19" i="3"/>
  <c r="M17" i="3"/>
  <c r="I37" i="3"/>
  <c r="I51" i="3"/>
  <c r="K163" i="3"/>
  <c r="N163" i="3"/>
  <c r="R163" i="3" s="1"/>
  <c r="G133" i="3"/>
  <c r="N133" i="3" s="1"/>
  <c r="Q43" i="1"/>
  <c r="V43" i="1" s="1"/>
  <c r="E41" i="1"/>
  <c r="E51" i="3"/>
  <c r="M51" i="3" s="1"/>
  <c r="G65" i="3"/>
  <c r="K65" i="3" s="1"/>
  <c r="G79" i="3"/>
  <c r="I78" i="3"/>
  <c r="K78" i="3" s="1"/>
  <c r="M76" i="3"/>
  <c r="G96" i="3"/>
  <c r="M111" i="3"/>
  <c r="I99" i="3"/>
  <c r="K99" i="3" s="1"/>
  <c r="M185" i="3"/>
  <c r="I182" i="3"/>
  <c r="M126" i="3"/>
  <c r="I116" i="3"/>
  <c r="K30" i="3"/>
  <c r="N30" i="3" s="1"/>
  <c r="M168" i="3"/>
  <c r="I168" i="3"/>
  <c r="K168" i="3" s="1"/>
  <c r="K76" i="3"/>
  <c r="I95" i="3"/>
  <c r="K110" i="3"/>
  <c r="N110" i="3" s="1"/>
  <c r="M99" i="3"/>
  <c r="I175" i="3"/>
  <c r="G137" i="3"/>
  <c r="I137" i="3"/>
  <c r="K129" i="3"/>
  <c r="N129" i="3" s="1"/>
  <c r="G91" i="3"/>
  <c r="I91" i="3"/>
  <c r="I39" i="3"/>
  <c r="I17" i="3"/>
  <c r="K154" i="3"/>
  <c r="M153" i="3"/>
  <c r="I139" i="3"/>
  <c r="K139" i="3" s="1"/>
  <c r="G126" i="3"/>
  <c r="G124" i="3"/>
  <c r="G92" i="3"/>
  <c r="K92" i="3" s="1"/>
  <c r="N92" i="3" s="1"/>
  <c r="G57" i="3"/>
  <c r="I44" i="3"/>
  <c r="K44" i="3" s="1"/>
  <c r="N44" i="3" s="1"/>
  <c r="I42" i="3"/>
  <c r="I38" i="3"/>
  <c r="I34" i="3"/>
  <c r="I30" i="3"/>
  <c r="I28" i="3"/>
  <c r="I24" i="3"/>
  <c r="K24" i="3" s="1"/>
  <c r="I22" i="3"/>
  <c r="G17" i="3"/>
  <c r="G37" i="3"/>
  <c r="I192" i="3"/>
  <c r="K192" i="3" s="1"/>
  <c r="O148" i="1"/>
  <c r="P148" i="1"/>
  <c r="R181" i="1"/>
  <c r="S181" i="1"/>
  <c r="P181" i="1"/>
  <c r="E189" i="3"/>
  <c r="Q181" i="1"/>
  <c r="O181" i="1"/>
  <c r="V181" i="1" s="1"/>
  <c r="T181" i="1"/>
  <c r="G106" i="3"/>
  <c r="G100" i="3"/>
  <c r="K100" i="3" s="1"/>
  <c r="I183" i="3"/>
  <c r="M182" i="3"/>
  <c r="G182" i="3"/>
  <c r="K182" i="3" s="1"/>
  <c r="M175" i="3"/>
  <c r="G175" i="3"/>
  <c r="I160" i="3"/>
  <c r="I135" i="3"/>
  <c r="K135" i="3" s="1"/>
  <c r="N135" i="3" s="1"/>
  <c r="I133" i="3"/>
  <c r="K133" i="3" s="1"/>
  <c r="I131" i="3"/>
  <c r="I123" i="3"/>
  <c r="K123" i="3" s="1"/>
  <c r="I121" i="3"/>
  <c r="K121" i="3" s="1"/>
  <c r="I119" i="3"/>
  <c r="G93" i="3"/>
  <c r="I58" i="3"/>
  <c r="K58" i="3" s="1"/>
  <c r="N58" i="3" s="1"/>
  <c r="M44" i="3"/>
  <c r="G43" i="3"/>
  <c r="M40" i="3"/>
  <c r="M38" i="3"/>
  <c r="G35" i="3"/>
  <c r="M32" i="3"/>
  <c r="M30" i="3"/>
  <c r="G29" i="3"/>
  <c r="K29" i="3" s="1"/>
  <c r="G27" i="3"/>
  <c r="I26" i="3"/>
  <c r="K26" i="3" s="1"/>
  <c r="N26" i="3" s="1"/>
  <c r="M24" i="3"/>
  <c r="G23" i="3"/>
  <c r="K23" i="3" s="1"/>
  <c r="I18" i="3"/>
  <c r="K18" i="3" s="1"/>
  <c r="V158" i="1"/>
  <c r="J38" i="1"/>
  <c r="P28" i="1"/>
  <c r="E7" i="1"/>
  <c r="O28" i="1"/>
  <c r="V12" i="1"/>
  <c r="G181" i="3"/>
  <c r="I180" i="3"/>
  <c r="I176" i="3"/>
  <c r="G174" i="3"/>
  <c r="K174" i="3" s="1"/>
  <c r="K166" i="3"/>
  <c r="N162" i="3"/>
  <c r="R162" i="3" s="1"/>
  <c r="M144" i="3"/>
  <c r="M137" i="3"/>
  <c r="M121" i="3"/>
  <c r="K94" i="3"/>
  <c r="N94" i="3" s="1"/>
  <c r="K42" i="3"/>
  <c r="I41" i="3"/>
  <c r="K22" i="3"/>
  <c r="I21" i="3"/>
  <c r="I36" i="3"/>
  <c r="I189" i="3"/>
  <c r="R184" i="1"/>
  <c r="Q184" i="1"/>
  <c r="O184" i="1"/>
  <c r="P184" i="1"/>
  <c r="O103" i="1"/>
  <c r="V103" i="1" s="1"/>
  <c r="V166" i="1"/>
  <c r="M57" i="1"/>
  <c r="V159" i="1"/>
  <c r="V125" i="1"/>
  <c r="R127" i="1"/>
  <c r="V127" i="1" s="1"/>
  <c r="R84" i="1"/>
  <c r="R79" i="1"/>
  <c r="V79" i="1" s="1"/>
  <c r="J53" i="1"/>
  <c r="V145" i="1"/>
  <c r="V92" i="1"/>
  <c r="J135" i="1"/>
  <c r="E143" i="3" s="1"/>
  <c r="I143" i="3" s="1"/>
  <c r="V70" i="1"/>
  <c r="G51" i="3"/>
  <c r="E55" i="1"/>
  <c r="H252" i="1" s="1"/>
  <c r="V17" i="1"/>
  <c r="V39" i="1"/>
  <c r="V57" i="1"/>
  <c r="V129" i="1"/>
  <c r="V146" i="1"/>
  <c r="T194" i="1"/>
  <c r="T171" i="1"/>
  <c r="P196" i="1"/>
  <c r="V196" i="1" s="1"/>
  <c r="P145" i="1"/>
  <c r="P116" i="1"/>
  <c r="V116" i="1" s="1"/>
  <c r="P98" i="1"/>
  <c r="O190" i="1"/>
  <c r="V190" i="1" s="1"/>
  <c r="O171" i="1"/>
  <c r="V171" i="1" s="1"/>
  <c r="O158" i="1"/>
  <c r="O154" i="1"/>
  <c r="V154" i="1" s="1"/>
  <c r="O122" i="1"/>
  <c r="V122" i="1" s="1"/>
  <c r="O116" i="1"/>
  <c r="V102" i="1"/>
  <c r="O98" i="1"/>
  <c r="O67" i="1"/>
  <c r="V67" i="1" s="1"/>
  <c r="O60" i="1"/>
  <c r="O24" i="1"/>
  <c r="V24" i="1" s="1"/>
  <c r="O12" i="1"/>
  <c r="N170" i="1"/>
  <c r="N67" i="1"/>
  <c r="J61" i="1"/>
  <c r="Q190" i="1"/>
  <c r="Q98" i="1"/>
  <c r="Q84" i="1"/>
  <c r="V84" i="1" s="1"/>
  <c r="S190" i="1"/>
  <c r="S171" i="1"/>
  <c r="V153" i="1"/>
  <c r="V110" i="1"/>
  <c r="J76" i="1"/>
  <c r="E84" i="3" s="1"/>
  <c r="G83" i="3"/>
  <c r="M80" i="3"/>
  <c r="N80" i="3" s="1"/>
  <c r="K164" i="1"/>
  <c r="E105" i="1"/>
  <c r="V60" i="1"/>
  <c r="V138" i="1"/>
  <c r="V173" i="1"/>
  <c r="V194" i="1"/>
  <c r="P194" i="1"/>
  <c r="P175" i="1"/>
  <c r="P160" i="1"/>
  <c r="P108" i="1"/>
  <c r="V108" i="1" s="1"/>
  <c r="P97" i="1"/>
  <c r="P51" i="1"/>
  <c r="P32" i="1"/>
  <c r="V32" i="1" s="1"/>
  <c r="O97" i="1"/>
  <c r="V97" i="1" s="1"/>
  <c r="O71" i="1"/>
  <c r="V71" i="1" s="1"/>
  <c r="O66" i="1"/>
  <c r="V66" i="1" s="1"/>
  <c r="N75" i="1"/>
  <c r="V58" i="1"/>
  <c r="Q171" i="1"/>
  <c r="Q131" i="1"/>
  <c r="V131" i="1" s="1"/>
  <c r="Q97" i="1"/>
  <c r="Q82" i="1"/>
  <c r="V82" i="1" s="1"/>
  <c r="V167" i="1"/>
  <c r="V152" i="1"/>
  <c r="V118" i="1"/>
  <c r="V80" i="1"/>
  <c r="K131" i="3"/>
  <c r="G53" i="3"/>
  <c r="M53" i="3"/>
  <c r="K83" i="3"/>
  <c r="N83" i="3" s="1"/>
  <c r="G45" i="3"/>
  <c r="K45" i="3" s="1"/>
  <c r="I45" i="3"/>
  <c r="M45" i="3"/>
  <c r="G67" i="3"/>
  <c r="K103" i="3"/>
  <c r="K183" i="3"/>
  <c r="N183" i="3" s="1"/>
  <c r="K181" i="3"/>
  <c r="K149" i="3"/>
  <c r="N149" i="3" s="1"/>
  <c r="K82" i="3"/>
  <c r="G108" i="3"/>
  <c r="K173" i="3"/>
  <c r="N173" i="3" s="1"/>
  <c r="K147" i="3"/>
  <c r="N147" i="3" s="1"/>
  <c r="K66" i="3"/>
  <c r="N66" i="3" s="1"/>
  <c r="I79" i="3"/>
  <c r="K79" i="3" s="1"/>
  <c r="N79" i="3" s="1"/>
  <c r="M79" i="3"/>
  <c r="K74" i="3"/>
  <c r="N100" i="3"/>
  <c r="K177" i="3"/>
  <c r="M177" i="3"/>
  <c r="N177" i="3"/>
  <c r="K175" i="3"/>
  <c r="N175" i="3" s="1"/>
  <c r="I165" i="3"/>
  <c r="M165" i="3"/>
  <c r="K160" i="3"/>
  <c r="K156" i="3"/>
  <c r="N156" i="3" s="1"/>
  <c r="N154" i="3"/>
  <c r="K136" i="3"/>
  <c r="M136" i="3"/>
  <c r="G59" i="3"/>
  <c r="K59" i="3" s="1"/>
  <c r="I59" i="3"/>
  <c r="M59" i="3"/>
  <c r="K16" i="3"/>
  <c r="K167" i="3"/>
  <c r="G165" i="3"/>
  <c r="K165" i="3" s="1"/>
  <c r="N165" i="3" s="1"/>
  <c r="K34" i="3"/>
  <c r="N34" i="3" s="1"/>
  <c r="I67" i="3"/>
  <c r="M67" i="3"/>
  <c r="S105" i="3"/>
  <c r="K68" i="3"/>
  <c r="N68" i="3" s="1"/>
  <c r="K109" i="3"/>
  <c r="N145" i="3"/>
  <c r="M130" i="3"/>
  <c r="K32" i="3"/>
  <c r="N32" i="3" s="1"/>
  <c r="I122" i="3"/>
  <c r="M122" i="3"/>
  <c r="K101" i="3"/>
  <c r="N101" i="3" s="1"/>
  <c r="G122" i="3"/>
  <c r="I102" i="3"/>
  <c r="M102" i="3"/>
  <c r="K152" i="3"/>
  <c r="G130" i="3"/>
  <c r="M198" i="3"/>
  <c r="N65" i="3"/>
  <c r="K104" i="3"/>
  <c r="G102" i="3"/>
  <c r="K184" i="3"/>
  <c r="N180" i="3"/>
  <c r="K180" i="3"/>
  <c r="I148" i="3"/>
  <c r="K148" i="3" s="1"/>
  <c r="N148" i="3" s="1"/>
  <c r="M148" i="3"/>
  <c r="N139" i="3"/>
  <c r="N64" i="3"/>
  <c r="I73" i="3"/>
  <c r="K73" i="3" s="1"/>
  <c r="N73" i="3" s="1"/>
  <c r="M73" i="3"/>
  <c r="K164" i="3"/>
  <c r="N164" i="3" s="1"/>
  <c r="I108" i="3"/>
  <c r="K108" i="3" s="1"/>
  <c r="N108" i="3" s="1"/>
  <c r="M108" i="3"/>
  <c r="G25" i="3"/>
  <c r="I25" i="3"/>
  <c r="K25" i="3" s="1"/>
  <c r="N25" i="3" s="1"/>
  <c r="M25" i="3"/>
  <c r="K47" i="1"/>
  <c r="R53" i="1"/>
  <c r="O53" i="1"/>
  <c r="P53" i="1"/>
  <c r="Q53" i="1"/>
  <c r="E61" i="3"/>
  <c r="S163" i="3"/>
  <c r="Y163" i="3" s="1"/>
  <c r="S162" i="3"/>
  <c r="Y162" i="3" s="1"/>
  <c r="K75" i="3"/>
  <c r="K95" i="3"/>
  <c r="N95" i="3" s="1"/>
  <c r="M183" i="3"/>
  <c r="K178" i="3"/>
  <c r="N178" i="3" s="1"/>
  <c r="K176" i="3"/>
  <c r="N176" i="3"/>
  <c r="K161" i="3"/>
  <c r="I157" i="3"/>
  <c r="K157" i="3"/>
  <c r="N157" i="3" s="1"/>
  <c r="M157" i="3"/>
  <c r="K137" i="3"/>
  <c r="N137" i="3" s="1"/>
  <c r="N128" i="3"/>
  <c r="I89" i="3"/>
  <c r="M89" i="3"/>
  <c r="V160" i="1"/>
  <c r="P193" i="1"/>
  <c r="T193" i="1"/>
  <c r="E201" i="3"/>
  <c r="S193" i="1"/>
  <c r="Q193" i="1"/>
  <c r="R193" i="1"/>
  <c r="O193" i="1"/>
  <c r="V8" i="1"/>
  <c r="N125" i="3"/>
  <c r="K120" i="3"/>
  <c r="N120" i="3" s="1"/>
  <c r="G202" i="3"/>
  <c r="K202" i="3"/>
  <c r="M202" i="3"/>
  <c r="S192" i="1"/>
  <c r="E200" i="3"/>
  <c r="R192" i="1"/>
  <c r="Q192" i="1"/>
  <c r="O192" i="1"/>
  <c r="P192" i="1"/>
  <c r="T192" i="1"/>
  <c r="P119" i="1"/>
  <c r="E127" i="3"/>
  <c r="O119" i="1"/>
  <c r="S76" i="1"/>
  <c r="R76" i="1"/>
  <c r="Q76" i="1"/>
  <c r="E63" i="1"/>
  <c r="N123" i="3"/>
  <c r="G118" i="3"/>
  <c r="K118" i="3" s="1"/>
  <c r="K57" i="3"/>
  <c r="N57" i="3" s="1"/>
  <c r="K43" i="3"/>
  <c r="N43" i="3" s="1"/>
  <c r="K203" i="3"/>
  <c r="N203" i="3" s="1"/>
  <c r="S191" i="1"/>
  <c r="R191" i="1"/>
  <c r="E199" i="3"/>
  <c r="Q191" i="1"/>
  <c r="O191" i="1"/>
  <c r="E189" i="1"/>
  <c r="P191" i="1"/>
  <c r="T191" i="1"/>
  <c r="G84" i="3"/>
  <c r="G185" i="3"/>
  <c r="K185" i="3" s="1"/>
  <c r="G179" i="3"/>
  <c r="K179" i="3" s="1"/>
  <c r="G153" i="3"/>
  <c r="K153" i="3" s="1"/>
  <c r="G144" i="3"/>
  <c r="K144" i="3" s="1"/>
  <c r="G138" i="3"/>
  <c r="K138" i="3" s="1"/>
  <c r="G132" i="3"/>
  <c r="K132" i="3" s="1"/>
  <c r="G116" i="3"/>
  <c r="K116" i="3" s="1"/>
  <c r="M87" i="3"/>
  <c r="N87" i="3" s="1"/>
  <c r="I87" i="3"/>
  <c r="K87" i="3" s="1"/>
  <c r="M52" i="3"/>
  <c r="I52" i="3"/>
  <c r="K52" i="3" s="1"/>
  <c r="G41" i="3"/>
  <c r="G21" i="3"/>
  <c r="K21" i="3" s="1"/>
  <c r="N21" i="3" s="1"/>
  <c r="N191" i="3"/>
  <c r="G200" i="3"/>
  <c r="V45" i="1"/>
  <c r="R45" i="1"/>
  <c r="K28" i="3"/>
  <c r="N28" i="3" s="1"/>
  <c r="K51" i="3"/>
  <c r="N51" i="3" s="1"/>
  <c r="I202" i="3"/>
  <c r="K188" i="3"/>
  <c r="M188" i="3"/>
  <c r="E115" i="3"/>
  <c r="M115" i="3" s="1"/>
  <c r="O107" i="1"/>
  <c r="P107" i="1"/>
  <c r="V107" i="1" s="1"/>
  <c r="I96" i="3"/>
  <c r="K96" i="3" s="1"/>
  <c r="I181" i="3"/>
  <c r="N181" i="3" s="1"/>
  <c r="I174" i="3"/>
  <c r="N160" i="3"/>
  <c r="I155" i="3"/>
  <c r="I146" i="3"/>
  <c r="I140" i="3"/>
  <c r="K140" i="3" s="1"/>
  <c r="N140" i="3" s="1"/>
  <c r="I134" i="3"/>
  <c r="K114" i="3"/>
  <c r="N114" i="3" s="1"/>
  <c r="G39" i="3"/>
  <c r="K39" i="3" s="1"/>
  <c r="N39" i="3" s="1"/>
  <c r="G19" i="3"/>
  <c r="K19" i="3" s="1"/>
  <c r="N19" i="3" s="1"/>
  <c r="N168" i="3"/>
  <c r="N61" i="1"/>
  <c r="P61" i="1"/>
  <c r="O61" i="1"/>
  <c r="J133" i="1"/>
  <c r="M187" i="1"/>
  <c r="M4" i="1" s="1"/>
  <c r="N187" i="1"/>
  <c r="N4" i="1" s="1"/>
  <c r="Q187" i="1"/>
  <c r="E195" i="3"/>
  <c r="O187" i="1"/>
  <c r="P187" i="1"/>
  <c r="T187" i="1"/>
  <c r="R187" i="1"/>
  <c r="S187" i="1"/>
  <c r="M68" i="3"/>
  <c r="N82" i="3"/>
  <c r="M74" i="3"/>
  <c r="N74" i="3" s="1"/>
  <c r="M109" i="3"/>
  <c r="N109" i="3" s="1"/>
  <c r="M103" i="3"/>
  <c r="N184" i="3"/>
  <c r="M166" i="3"/>
  <c r="N166" i="3" s="1"/>
  <c r="N152" i="3"/>
  <c r="N131" i="3"/>
  <c r="G128" i="3"/>
  <c r="K128" i="3" s="1"/>
  <c r="N119" i="3"/>
  <c r="K90" i="3"/>
  <c r="N90" i="3" s="1"/>
  <c r="K56" i="3"/>
  <c r="N56" i="3" s="1"/>
  <c r="K35" i="3"/>
  <c r="N35" i="3" s="1"/>
  <c r="O182" i="1"/>
  <c r="P182" i="1"/>
  <c r="E190" i="3"/>
  <c r="Q182" i="1"/>
  <c r="R182" i="1"/>
  <c r="N161" i="3"/>
  <c r="K126" i="3"/>
  <c r="N124" i="3"/>
  <c r="I124" i="3"/>
  <c r="K124" i="3"/>
  <c r="K119" i="3"/>
  <c r="N42" i="3"/>
  <c r="G33" i="3"/>
  <c r="N22" i="3"/>
  <c r="K17" i="3"/>
  <c r="M75" i="3"/>
  <c r="N75" i="3" s="1"/>
  <c r="M110" i="3"/>
  <c r="M104" i="3"/>
  <c r="M167" i="3"/>
  <c r="M161" i="3"/>
  <c r="N153" i="3"/>
  <c r="N144" i="3"/>
  <c r="M93" i="3"/>
  <c r="I93" i="3"/>
  <c r="K93" i="3" s="1"/>
  <c r="G31" i="3"/>
  <c r="K31" i="3" s="1"/>
  <c r="E164" i="1"/>
  <c r="N172" i="1"/>
  <c r="V172" i="1" s="1"/>
  <c r="M118" i="3"/>
  <c r="K47" i="3"/>
  <c r="N47" i="3" s="1"/>
  <c r="G195" i="3"/>
  <c r="K204" i="3"/>
  <c r="N204" i="3" s="1"/>
  <c r="I201" i="3"/>
  <c r="O180" i="1"/>
  <c r="O4" i="1" s="1"/>
  <c r="P180" i="1"/>
  <c r="T180" i="1"/>
  <c r="J185" i="1"/>
  <c r="S180" i="1"/>
  <c r="Q180" i="1"/>
  <c r="R180" i="1"/>
  <c r="E179" i="1"/>
  <c r="M116" i="3"/>
  <c r="K91" i="3"/>
  <c r="N91" i="3" s="1"/>
  <c r="K50" i="3"/>
  <c r="N50" i="3" s="1"/>
  <c r="M41" i="3"/>
  <c r="K27" i="3"/>
  <c r="N27" i="3" s="1"/>
  <c r="M21" i="3"/>
  <c r="K169" i="3"/>
  <c r="N169" i="3" s="1"/>
  <c r="G201" i="3"/>
  <c r="I198" i="3"/>
  <c r="K198" i="3" s="1"/>
  <c r="K81" i="3"/>
  <c r="N81" i="3" s="1"/>
  <c r="K37" i="3"/>
  <c r="N37" i="3" s="1"/>
  <c r="V147" i="1"/>
  <c r="P170" i="1"/>
  <c r="P101" i="1"/>
  <c r="V101" i="1" s="1"/>
  <c r="O195" i="1"/>
  <c r="O175" i="1"/>
  <c r="O117" i="1"/>
  <c r="V117" i="1" s="1"/>
  <c r="O75" i="1"/>
  <c r="V75" i="1" s="1"/>
  <c r="Q183" i="1"/>
  <c r="Q141" i="1"/>
  <c r="V141" i="1" s="1"/>
  <c r="T141" i="1"/>
  <c r="P147" i="1"/>
  <c r="P100" i="1"/>
  <c r="V100" i="1" s="1"/>
  <c r="P85" i="1"/>
  <c r="V85" i="1" s="1"/>
  <c r="O27" i="1"/>
  <c r="V27" i="1" s="1"/>
  <c r="O15" i="1"/>
  <c r="V15" i="1" s="1"/>
  <c r="N59" i="1"/>
  <c r="G117" i="3"/>
  <c r="K117" i="3" s="1"/>
  <c r="G60" i="3"/>
  <c r="K60" i="3" s="1"/>
  <c r="G40" i="3"/>
  <c r="K40" i="3" s="1"/>
  <c r="G20" i="3"/>
  <c r="K20" i="3" s="1"/>
  <c r="G36" i="3"/>
  <c r="K36" i="3" s="1"/>
  <c r="P99" i="1"/>
  <c r="V99" i="1" s="1"/>
  <c r="P20" i="1"/>
  <c r="V20" i="1" s="1"/>
  <c r="O95" i="1"/>
  <c r="V95" i="1" s="1"/>
  <c r="O59" i="1"/>
  <c r="O26" i="1"/>
  <c r="V26" i="1" s="1"/>
  <c r="O14" i="1"/>
  <c r="V14" i="1" s="1"/>
  <c r="Q195" i="1"/>
  <c r="Q128" i="1"/>
  <c r="V128" i="1" s="1"/>
  <c r="J162" i="1"/>
  <c r="N18" i="3"/>
  <c r="P19" i="1"/>
  <c r="V19" i="1" s="1"/>
  <c r="O170" i="1"/>
  <c r="S124" i="1"/>
  <c r="R175" i="1"/>
  <c r="P52" i="1"/>
  <c r="O149" i="1"/>
  <c r="V149" i="1" s="1"/>
  <c r="O94" i="1"/>
  <c r="V94" i="1" s="1"/>
  <c r="N69" i="1"/>
  <c r="V69" i="1" s="1"/>
  <c r="N56" i="1"/>
  <c r="J186" i="1"/>
  <c r="T124" i="1"/>
  <c r="P183" i="1"/>
  <c r="O56" i="1"/>
  <c r="N52" i="1"/>
  <c r="S38" i="1"/>
  <c r="O93" i="1"/>
  <c r="V93" i="1" s="1"/>
  <c r="O69" i="1"/>
  <c r="N51" i="1"/>
  <c r="Q124" i="1"/>
  <c r="V124" i="1" s="1"/>
  <c r="Q83" i="1"/>
  <c r="V83" i="1" s="1"/>
  <c r="S195" i="1"/>
  <c r="M203" i="3"/>
  <c r="M81" i="3"/>
  <c r="Q170" i="1"/>
  <c r="O183" i="1"/>
  <c r="O51" i="1"/>
  <c r="N65" i="1"/>
  <c r="V65" i="1" s="1"/>
  <c r="S170" i="1"/>
  <c r="T195" i="1"/>
  <c r="P195" i="1"/>
  <c r="P106" i="1"/>
  <c r="M56" i="1"/>
  <c r="R170" i="1"/>
  <c r="O106" i="1"/>
  <c r="V106" i="1" s="1"/>
  <c r="R129" i="3" l="1"/>
  <c r="S129" i="3"/>
  <c r="Y129" i="3" s="1"/>
  <c r="T133" i="3"/>
  <c r="V133" i="3"/>
  <c r="S76" i="3"/>
  <c r="R76" i="3"/>
  <c r="Q76" i="3"/>
  <c r="Y76" i="3" s="1"/>
  <c r="N192" i="3"/>
  <c r="K194" i="3"/>
  <c r="S94" i="3"/>
  <c r="Y94" i="3" s="1"/>
  <c r="T94" i="3"/>
  <c r="S80" i="3"/>
  <c r="W80" i="3"/>
  <c r="V80" i="3"/>
  <c r="T80" i="3"/>
  <c r="P80" i="3"/>
  <c r="U80" i="3"/>
  <c r="R80" i="3"/>
  <c r="Q80" i="3"/>
  <c r="K106" i="3"/>
  <c r="N106" i="3"/>
  <c r="G189" i="3"/>
  <c r="M189" i="3"/>
  <c r="M143" i="3"/>
  <c r="G143" i="3"/>
  <c r="K143" i="3" s="1"/>
  <c r="N143" i="3" s="1"/>
  <c r="V59" i="1"/>
  <c r="K189" i="3"/>
  <c r="N189" i="3" s="1"/>
  <c r="S189" i="3" s="1"/>
  <c r="H253" i="1"/>
  <c r="N24" i="3"/>
  <c r="N126" i="3"/>
  <c r="R135" i="1"/>
  <c r="V191" i="1"/>
  <c r="V192" i="1"/>
  <c r="N202" i="3"/>
  <c r="N78" i="3"/>
  <c r="S78" i="3" s="1"/>
  <c r="N182" i="3"/>
  <c r="K122" i="3"/>
  <c r="K130" i="3"/>
  <c r="N130" i="3" s="1"/>
  <c r="U105" i="3"/>
  <c r="T105" i="3"/>
  <c r="Y105" i="3" s="1"/>
  <c r="N59" i="3"/>
  <c r="K67" i="3"/>
  <c r="N67" i="3" s="1"/>
  <c r="N53" i="3"/>
  <c r="U53" i="3" s="1"/>
  <c r="V98" i="1"/>
  <c r="R38" i="1"/>
  <c r="Q38" i="1"/>
  <c r="E46" i="3"/>
  <c r="K38" i="3"/>
  <c r="N38" i="3" s="1"/>
  <c r="N77" i="3"/>
  <c r="V175" i="1"/>
  <c r="N116" i="3"/>
  <c r="R116" i="3" s="1"/>
  <c r="N23" i="3"/>
  <c r="I115" i="3"/>
  <c r="Q135" i="1"/>
  <c r="V76" i="1"/>
  <c r="N36" i="3"/>
  <c r="V193" i="1"/>
  <c r="V53" i="1"/>
  <c r="N167" i="3"/>
  <c r="N29" i="3"/>
  <c r="M84" i="3"/>
  <c r="I84" i="3"/>
  <c r="I61" i="1"/>
  <c r="E69" i="3"/>
  <c r="V28" i="1"/>
  <c r="N72" i="3"/>
  <c r="N104" i="3"/>
  <c r="R104" i="3" s="1"/>
  <c r="N45" i="3"/>
  <c r="V195" i="1"/>
  <c r="P5" i="1"/>
  <c r="N185" i="3"/>
  <c r="Q185" i="3" s="1"/>
  <c r="Y185" i="3" s="1"/>
  <c r="N17" i="3"/>
  <c r="V187" i="1"/>
  <c r="V61" i="1"/>
  <c r="N121" i="3"/>
  <c r="V119" i="1"/>
  <c r="N99" i="3"/>
  <c r="N136" i="3"/>
  <c r="T136" i="3" s="1"/>
  <c r="Y136" i="3" s="1"/>
  <c r="N103" i="3"/>
  <c r="K53" i="3"/>
  <c r="V184" i="1"/>
  <c r="K7" i="1"/>
  <c r="V148" i="1"/>
  <c r="Q173" i="3"/>
  <c r="Y173" i="3" s="1"/>
  <c r="C113" i="3"/>
  <c r="R140" i="3"/>
  <c r="Y140" i="3" s="1"/>
  <c r="U135" i="3"/>
  <c r="T135" i="3"/>
  <c r="N41" i="3"/>
  <c r="S57" i="3"/>
  <c r="R57" i="3"/>
  <c r="T57" i="3"/>
  <c r="Q57" i="3"/>
  <c r="R25" i="3"/>
  <c r="S25" i="3"/>
  <c r="Y25" i="3" s="1"/>
  <c r="R32" i="3"/>
  <c r="Y32" i="3" s="1"/>
  <c r="S32" i="3"/>
  <c r="S83" i="3"/>
  <c r="R83" i="3"/>
  <c r="Q83" i="3"/>
  <c r="W149" i="3"/>
  <c r="U149" i="3"/>
  <c r="T149" i="3"/>
  <c r="V149" i="3"/>
  <c r="Y149" i="3" s="1"/>
  <c r="R166" i="3"/>
  <c r="S166" i="3"/>
  <c r="S39" i="3"/>
  <c r="Y39" i="3" s="1"/>
  <c r="R21" i="3"/>
  <c r="Y21" i="3" s="1"/>
  <c r="S21" i="3"/>
  <c r="R120" i="3"/>
  <c r="S120" i="3"/>
  <c r="T147" i="3"/>
  <c r="Y147" i="3" s="1"/>
  <c r="S95" i="3"/>
  <c r="T95" i="3"/>
  <c r="R74" i="3"/>
  <c r="S74" i="3"/>
  <c r="Q74" i="3"/>
  <c r="Y74" i="3"/>
  <c r="R157" i="3"/>
  <c r="S157" i="3"/>
  <c r="Y157" i="3" s="1"/>
  <c r="R108" i="3"/>
  <c r="Y108" i="3" s="1"/>
  <c r="S108" i="3"/>
  <c r="T143" i="3"/>
  <c r="U143" i="3"/>
  <c r="R34" i="3"/>
  <c r="S34" i="3"/>
  <c r="Y34" i="3" s="1"/>
  <c r="U202" i="3"/>
  <c r="R202" i="3"/>
  <c r="S202" i="3"/>
  <c r="W202" i="3"/>
  <c r="V202" i="3"/>
  <c r="Y202" i="3" s="1"/>
  <c r="T202" i="3"/>
  <c r="P66" i="3"/>
  <c r="R66" i="3"/>
  <c r="Y66" i="3"/>
  <c r="Q66" i="3"/>
  <c r="U90" i="3"/>
  <c r="T90" i="3"/>
  <c r="U136" i="3"/>
  <c r="U189" i="3"/>
  <c r="R164" i="3"/>
  <c r="Y164" i="3" s="1"/>
  <c r="S164" i="3"/>
  <c r="R73" i="3"/>
  <c r="Y73" i="3" s="1"/>
  <c r="Q73" i="3"/>
  <c r="S73" i="3"/>
  <c r="S165" i="3"/>
  <c r="R165" i="3"/>
  <c r="Y165" i="3" s="1"/>
  <c r="R101" i="3"/>
  <c r="Y101" i="3" s="1"/>
  <c r="S101" i="3"/>
  <c r="R175" i="3"/>
  <c r="U175" i="3"/>
  <c r="Q175" i="3"/>
  <c r="V175" i="3"/>
  <c r="W175" i="3"/>
  <c r="S175" i="3"/>
  <c r="T175" i="3"/>
  <c r="R56" i="3"/>
  <c r="Q56" i="3"/>
  <c r="Y56" i="3" s="1"/>
  <c r="S56" i="3"/>
  <c r="T169" i="3"/>
  <c r="Y169" i="3" s="1"/>
  <c r="U169" i="3"/>
  <c r="Q148" i="3"/>
  <c r="Y148" i="3" s="1"/>
  <c r="S167" i="3"/>
  <c r="P67" i="3"/>
  <c r="Y67" i="3" s="1"/>
  <c r="R67" i="3"/>
  <c r="Q67" i="3"/>
  <c r="R75" i="3"/>
  <c r="S75" i="3"/>
  <c r="Y75" i="3" s="1"/>
  <c r="Q75" i="3"/>
  <c r="Q178" i="3"/>
  <c r="S178" i="3"/>
  <c r="R178" i="3"/>
  <c r="W178" i="3"/>
  <c r="U178" i="3"/>
  <c r="T178" i="3"/>
  <c r="V178" i="3"/>
  <c r="R203" i="3"/>
  <c r="U203" i="3"/>
  <c r="T203" i="3"/>
  <c r="V203" i="3"/>
  <c r="S203" i="3"/>
  <c r="W203" i="3"/>
  <c r="Y203" i="3"/>
  <c r="T45" i="3"/>
  <c r="Y45" i="3" s="1"/>
  <c r="S37" i="3"/>
  <c r="Y37" i="3" s="1"/>
  <c r="T43" i="3"/>
  <c r="S43" i="3"/>
  <c r="Y43" i="3"/>
  <c r="R204" i="3"/>
  <c r="S204" i="3"/>
  <c r="W204" i="3"/>
  <c r="V204" i="3"/>
  <c r="U204" i="3"/>
  <c r="T204" i="3"/>
  <c r="R19" i="3"/>
  <c r="Y19" i="3"/>
  <c r="T92" i="3"/>
  <c r="U92" i="3"/>
  <c r="Y92" i="3" s="1"/>
  <c r="R79" i="3"/>
  <c r="Q79" i="3"/>
  <c r="S79" i="3"/>
  <c r="T79" i="3"/>
  <c r="R103" i="3"/>
  <c r="Y103" i="3" s="1"/>
  <c r="S103" i="3"/>
  <c r="R58" i="3"/>
  <c r="S58" i="3"/>
  <c r="Q58" i="3"/>
  <c r="Y58" i="3" s="1"/>
  <c r="M61" i="3"/>
  <c r="R192" i="3"/>
  <c r="U192" i="3"/>
  <c r="T192" i="3"/>
  <c r="S192" i="3"/>
  <c r="R119" i="3"/>
  <c r="Y119" i="3"/>
  <c r="P65" i="3"/>
  <c r="R65" i="3"/>
  <c r="Q65" i="3"/>
  <c r="G61" i="3"/>
  <c r="Q68" i="3"/>
  <c r="P68" i="3"/>
  <c r="R68" i="3"/>
  <c r="R154" i="3"/>
  <c r="Y154" i="3"/>
  <c r="S154" i="3"/>
  <c r="T144" i="3"/>
  <c r="Y144" i="3" s="1"/>
  <c r="R99" i="3"/>
  <c r="Y99" i="3" s="1"/>
  <c r="S99" i="3"/>
  <c r="T131" i="3"/>
  <c r="U131" i="3"/>
  <c r="N198" i="3"/>
  <c r="N16" i="3"/>
  <c r="R156" i="3"/>
  <c r="Y156" i="3" s="1"/>
  <c r="S156" i="3"/>
  <c r="R100" i="3"/>
  <c r="Y100" i="3" s="1"/>
  <c r="S100" i="3"/>
  <c r="R109" i="3"/>
  <c r="Y109" i="3" s="1"/>
  <c r="S109" i="3"/>
  <c r="Q162" i="1"/>
  <c r="K151" i="1"/>
  <c r="R162" i="1"/>
  <c r="E170" i="3"/>
  <c r="Q177" i="3"/>
  <c r="Y177" i="3" s="1"/>
  <c r="R123" i="3"/>
  <c r="Y123" i="3"/>
  <c r="R24" i="3"/>
  <c r="S24" i="3"/>
  <c r="Y24" i="3" s="1"/>
  <c r="J5" i="1"/>
  <c r="S137" i="3"/>
  <c r="T137" i="3"/>
  <c r="T51" i="3"/>
  <c r="Y51" i="3" s="1"/>
  <c r="N60" i="3"/>
  <c r="N118" i="3"/>
  <c r="R78" i="3"/>
  <c r="R59" i="3"/>
  <c r="S59" i="3"/>
  <c r="Q59" i="3"/>
  <c r="R111" i="3"/>
  <c r="S111" i="3"/>
  <c r="Y111" i="3" s="1"/>
  <c r="K102" i="3"/>
  <c r="N102" i="3" s="1"/>
  <c r="R17" i="3"/>
  <c r="Y17" i="3" s="1"/>
  <c r="N5" i="1"/>
  <c r="N3" i="1" s="1"/>
  <c r="V51" i="1"/>
  <c r="S42" i="3"/>
  <c r="T42" i="3"/>
  <c r="Y42" i="3" s="1"/>
  <c r="R110" i="3"/>
  <c r="S110" i="3"/>
  <c r="Y110" i="3" s="1"/>
  <c r="K155" i="3"/>
  <c r="N155" i="3" s="1"/>
  <c r="N132" i="3"/>
  <c r="I127" i="3"/>
  <c r="G127" i="3"/>
  <c r="R126" i="3"/>
  <c r="S126" i="3"/>
  <c r="Y126" i="3"/>
  <c r="G199" i="3"/>
  <c r="M199" i="3"/>
  <c r="I199" i="3"/>
  <c r="K199" i="3" s="1"/>
  <c r="R153" i="3"/>
  <c r="S153" i="3"/>
  <c r="N188" i="3"/>
  <c r="N138" i="3"/>
  <c r="R22" i="3"/>
  <c r="S22" i="3"/>
  <c r="Y22" i="3" s="1"/>
  <c r="N31" i="3"/>
  <c r="V52" i="1"/>
  <c r="N40" i="3"/>
  <c r="U44" i="3"/>
  <c r="Y44" i="3" s="1"/>
  <c r="K33" i="3"/>
  <c r="N33" i="3" s="1"/>
  <c r="R160" i="3"/>
  <c r="S160" i="3"/>
  <c r="Y160" i="3"/>
  <c r="R26" i="3"/>
  <c r="S26" i="3"/>
  <c r="Y26" i="3" s="1"/>
  <c r="R125" i="3"/>
  <c r="S125" i="3"/>
  <c r="N96" i="3"/>
  <c r="C86" i="3" s="1"/>
  <c r="N93" i="3"/>
  <c r="R64" i="3"/>
  <c r="P64" i="3"/>
  <c r="Q64" i="3"/>
  <c r="Y64" i="3" s="1"/>
  <c r="N179" i="3"/>
  <c r="S30" i="3"/>
  <c r="R30" i="3"/>
  <c r="M127" i="3"/>
  <c r="R133" i="1"/>
  <c r="J134" i="1"/>
  <c r="Q133" i="1"/>
  <c r="V133" i="1" s="1"/>
  <c r="T133" i="1"/>
  <c r="S133" i="1"/>
  <c r="E141" i="3"/>
  <c r="U91" i="3"/>
  <c r="T91" i="3"/>
  <c r="V183" i="1"/>
  <c r="R27" i="3"/>
  <c r="S27" i="3"/>
  <c r="Y27" i="3" s="1"/>
  <c r="V180" i="1"/>
  <c r="R23" i="3"/>
  <c r="S23" i="3"/>
  <c r="N117" i="3"/>
  <c r="R152" i="3"/>
  <c r="U152" i="3"/>
  <c r="T152" i="3"/>
  <c r="S152" i="3"/>
  <c r="Y152" i="3"/>
  <c r="C159" i="3"/>
  <c r="R168" i="3"/>
  <c r="Y168" i="3" s="1"/>
  <c r="S168" i="3"/>
  <c r="G115" i="3"/>
  <c r="K115" i="3" s="1"/>
  <c r="N115" i="3" s="1"/>
  <c r="M200" i="3"/>
  <c r="I200" i="3"/>
  <c r="K200" i="3" s="1"/>
  <c r="N122" i="3"/>
  <c r="V145" i="3"/>
  <c r="U145" i="3"/>
  <c r="T145" i="3"/>
  <c r="W145" i="3"/>
  <c r="R81" i="3"/>
  <c r="S81" i="3"/>
  <c r="T81" i="3"/>
  <c r="Q81" i="3"/>
  <c r="Y81" i="3" s="1"/>
  <c r="U88" i="3"/>
  <c r="T88" i="3"/>
  <c r="Y88" i="3"/>
  <c r="S50" i="3"/>
  <c r="Y50" i="3" s="1"/>
  <c r="S29" i="3"/>
  <c r="R29" i="3"/>
  <c r="C15" i="3"/>
  <c r="R36" i="3"/>
  <c r="S36" i="3"/>
  <c r="Y36" i="3" s="1"/>
  <c r="R161" i="3"/>
  <c r="Y161" i="3" s="1"/>
  <c r="S161" i="3"/>
  <c r="I61" i="3"/>
  <c r="R35" i="3"/>
  <c r="Y35" i="3" s="1"/>
  <c r="S35" i="3"/>
  <c r="N174" i="3"/>
  <c r="R191" i="3"/>
  <c r="S191" i="3"/>
  <c r="T191" i="3"/>
  <c r="U191" i="3"/>
  <c r="K41" i="3"/>
  <c r="O5" i="1"/>
  <c r="O3" i="1" s="1"/>
  <c r="K146" i="3"/>
  <c r="N146" i="3" s="1"/>
  <c r="Q180" i="3"/>
  <c r="Y180" i="3" s="1"/>
  <c r="R114" i="3"/>
  <c r="Y114" i="3" s="1"/>
  <c r="S114" i="3"/>
  <c r="V182" i="1"/>
  <c r="Y176" i="3"/>
  <c r="Q176" i="3"/>
  <c r="T47" i="3"/>
  <c r="Y47" i="3" s="1"/>
  <c r="U47" i="3"/>
  <c r="R128" i="3"/>
  <c r="S128" i="3"/>
  <c r="R183" i="3"/>
  <c r="S183" i="3"/>
  <c r="W183" i="3"/>
  <c r="U183" i="3"/>
  <c r="Q183" i="3"/>
  <c r="V183" i="3"/>
  <c r="T183" i="3"/>
  <c r="M201" i="3"/>
  <c r="K201" i="3"/>
  <c r="N201" i="3" s="1"/>
  <c r="V170" i="1"/>
  <c r="U87" i="3"/>
  <c r="T87" i="3"/>
  <c r="Y87" i="3" s="1"/>
  <c r="M195" i="3"/>
  <c r="I195" i="3"/>
  <c r="K195" i="3" s="1"/>
  <c r="N195" i="3" s="1"/>
  <c r="K89" i="3"/>
  <c r="N89" i="3" s="1"/>
  <c r="S182" i="3"/>
  <c r="Y182" i="3" s="1"/>
  <c r="R182" i="3"/>
  <c r="T182" i="3"/>
  <c r="Q182" i="3"/>
  <c r="W182" i="3"/>
  <c r="U182" i="3"/>
  <c r="V182" i="3"/>
  <c r="K134" i="3"/>
  <c r="N134" i="3" s="1"/>
  <c r="R124" i="3"/>
  <c r="S124" i="3"/>
  <c r="R28" i="3"/>
  <c r="Y28" i="3" s="1"/>
  <c r="S28" i="3"/>
  <c r="Q181" i="3"/>
  <c r="Y181" i="3" s="1"/>
  <c r="P4" i="1"/>
  <c r="P3" i="1" s="1"/>
  <c r="S139" i="3"/>
  <c r="U139" i="3"/>
  <c r="T139" i="3"/>
  <c r="R139" i="3"/>
  <c r="Y139" i="3" s="1"/>
  <c r="S121" i="3"/>
  <c r="R82" i="3"/>
  <c r="S82" i="3"/>
  <c r="Y82" i="3" s="1"/>
  <c r="Q82" i="3"/>
  <c r="N20" i="3"/>
  <c r="N52" i="3"/>
  <c r="M5" i="1"/>
  <c r="V56" i="1"/>
  <c r="Q186" i="1"/>
  <c r="E194" i="3"/>
  <c r="T186" i="1"/>
  <c r="K179" i="1"/>
  <c r="H255" i="1" s="1"/>
  <c r="R186" i="1"/>
  <c r="V186" i="1" s="1"/>
  <c r="S186" i="1"/>
  <c r="R18" i="3"/>
  <c r="Y18" i="3" s="1"/>
  <c r="Q185" i="1"/>
  <c r="R185" i="1"/>
  <c r="T185" i="1"/>
  <c r="S185" i="1"/>
  <c r="E193" i="3"/>
  <c r="I190" i="3"/>
  <c r="M190" i="3"/>
  <c r="G190" i="3"/>
  <c r="K190" i="3" s="1"/>
  <c r="K193" i="3" s="1"/>
  <c r="Q184" i="3"/>
  <c r="Y184" i="3" s="1"/>
  <c r="Y116" i="3" l="1"/>
  <c r="R130" i="3"/>
  <c r="Y130" i="3" s="1"/>
  <c r="S130" i="3"/>
  <c r="S38" i="3"/>
  <c r="Y38" i="3" s="1"/>
  <c r="M46" i="3"/>
  <c r="G46" i="3"/>
  <c r="K46" i="3" s="1"/>
  <c r="I46" i="3"/>
  <c r="V185" i="1"/>
  <c r="Y191" i="3"/>
  <c r="Y29" i="3"/>
  <c r="N200" i="3"/>
  <c r="Y23" i="3"/>
  <c r="Y91" i="3"/>
  <c r="Y125" i="3"/>
  <c r="Q78" i="3"/>
  <c r="Y78" i="3" s="1"/>
  <c r="C49" i="3"/>
  <c r="Y131" i="3"/>
  <c r="Y68" i="3"/>
  <c r="Y178" i="3"/>
  <c r="S116" i="3"/>
  <c r="R167" i="3"/>
  <c r="Y167" i="3" s="1"/>
  <c r="Y53" i="3"/>
  <c r="R189" i="3"/>
  <c r="V189" i="3"/>
  <c r="Y90" i="3"/>
  <c r="Y143" i="3"/>
  <c r="Y120" i="3"/>
  <c r="Y135" i="3"/>
  <c r="S72" i="3"/>
  <c r="Q72" i="3"/>
  <c r="R72" i="3"/>
  <c r="V135" i="1"/>
  <c r="V38" i="1"/>
  <c r="R121" i="3"/>
  <c r="Y121" i="3" s="1"/>
  <c r="K61" i="3"/>
  <c r="Y145" i="3"/>
  <c r="Y59" i="3"/>
  <c r="T78" i="3"/>
  <c r="V162" i="1"/>
  <c r="Y192" i="3"/>
  <c r="S104" i="3"/>
  <c r="Y104" i="3" s="1"/>
  <c r="Y175" i="3"/>
  <c r="T189" i="3"/>
  <c r="W189" i="3"/>
  <c r="Y95" i="3"/>
  <c r="Y83" i="3"/>
  <c r="Q77" i="3"/>
  <c r="S77" i="3"/>
  <c r="R77" i="3"/>
  <c r="S106" i="3"/>
  <c r="R106" i="3"/>
  <c r="Y106" i="3" s="1"/>
  <c r="Y183" i="3"/>
  <c r="N190" i="3"/>
  <c r="T4" i="1"/>
  <c r="S4" i="1"/>
  <c r="Y124" i="3"/>
  <c r="Y128" i="3"/>
  <c r="Y30" i="3"/>
  <c r="Y153" i="3"/>
  <c r="N199" i="3"/>
  <c r="Y137" i="3"/>
  <c r="Y65" i="3"/>
  <c r="Y79" i="3"/>
  <c r="Y204" i="3"/>
  <c r="Y166" i="3"/>
  <c r="Y57" i="3"/>
  <c r="K84" i="3"/>
  <c r="N84" i="3" s="1"/>
  <c r="G69" i="3"/>
  <c r="I69" i="3"/>
  <c r="K69" i="3" s="1"/>
  <c r="M69" i="3"/>
  <c r="Y80" i="3"/>
  <c r="Y133" i="3"/>
  <c r="T134" i="3"/>
  <c r="Y134" i="3" s="1"/>
  <c r="U134" i="3"/>
  <c r="N61" i="3"/>
  <c r="T146" i="3"/>
  <c r="Y146" i="3" s="1"/>
  <c r="R190" i="3"/>
  <c r="S190" i="3"/>
  <c r="U190" i="3"/>
  <c r="T190" i="3"/>
  <c r="R200" i="3"/>
  <c r="W200" i="3"/>
  <c r="S200" i="3"/>
  <c r="U200" i="3"/>
  <c r="V200" i="3"/>
  <c r="T200" i="3"/>
  <c r="R199" i="3"/>
  <c r="Y199" i="3" s="1"/>
  <c r="T199" i="3"/>
  <c r="V199" i="3"/>
  <c r="S199" i="3"/>
  <c r="W199" i="3"/>
  <c r="U199" i="3"/>
  <c r="S115" i="3"/>
  <c r="R115" i="3"/>
  <c r="Y115" i="3"/>
  <c r="U89" i="3"/>
  <c r="T89" i="3"/>
  <c r="Y89" i="3" s="1"/>
  <c r="D86" i="3"/>
  <c r="R102" i="3"/>
  <c r="S102" i="3"/>
  <c r="C98" i="3"/>
  <c r="R33" i="3"/>
  <c r="Y33" i="3" s="1"/>
  <c r="S33" i="3"/>
  <c r="U195" i="3"/>
  <c r="T195" i="3"/>
  <c r="R195" i="3"/>
  <c r="P195" i="3"/>
  <c r="P10" i="3" s="1"/>
  <c r="S195" i="3"/>
  <c r="Q195" i="3"/>
  <c r="Q10" i="3" s="1"/>
  <c r="V195" i="3"/>
  <c r="W195" i="3"/>
  <c r="C197" i="3"/>
  <c r="R198" i="3"/>
  <c r="W198" i="3"/>
  <c r="V198" i="3"/>
  <c r="U198" i="3"/>
  <c r="T198" i="3"/>
  <c r="S198" i="3"/>
  <c r="S41" i="3"/>
  <c r="T41" i="3"/>
  <c r="S155" i="3"/>
  <c r="R155" i="3"/>
  <c r="Y155" i="3" s="1"/>
  <c r="R122" i="3"/>
  <c r="Y122" i="3"/>
  <c r="R174" i="3"/>
  <c r="Q174" i="3"/>
  <c r="R188" i="3"/>
  <c r="S188" i="3"/>
  <c r="W188" i="3"/>
  <c r="T188" i="3"/>
  <c r="V188" i="3"/>
  <c r="U188" i="3"/>
  <c r="S60" i="3"/>
  <c r="R60" i="3"/>
  <c r="Q60" i="3"/>
  <c r="D55" i="3"/>
  <c r="R138" i="3"/>
  <c r="S138" i="3"/>
  <c r="T138" i="3"/>
  <c r="U138" i="3"/>
  <c r="D151" i="3"/>
  <c r="R134" i="1"/>
  <c r="Q134" i="1"/>
  <c r="Q5" i="1" s="1"/>
  <c r="T134" i="1"/>
  <c r="T5" i="1" s="1"/>
  <c r="T3" i="1" s="1"/>
  <c r="S134" i="1"/>
  <c r="S5" i="1" s="1"/>
  <c r="E142" i="3"/>
  <c r="T93" i="3"/>
  <c r="S93" i="3"/>
  <c r="Y93" i="3" s="1"/>
  <c r="K127" i="3"/>
  <c r="N127" i="3" s="1"/>
  <c r="K105" i="1"/>
  <c r="H254" i="1" s="1"/>
  <c r="H257" i="1" s="1"/>
  <c r="P11" i="3"/>
  <c r="T52" i="3"/>
  <c r="Y52" i="3" s="1"/>
  <c r="S179" i="3"/>
  <c r="R179" i="3"/>
  <c r="V179" i="3"/>
  <c r="W179" i="3"/>
  <c r="U179" i="3"/>
  <c r="T179" i="3"/>
  <c r="Y179" i="3"/>
  <c r="M141" i="3"/>
  <c r="G141" i="3"/>
  <c r="I141" i="3"/>
  <c r="T96" i="3"/>
  <c r="U96" i="3"/>
  <c r="D172" i="3"/>
  <c r="M3" i="1"/>
  <c r="R201" i="3"/>
  <c r="T201" i="3"/>
  <c r="U201" i="3"/>
  <c r="V201" i="3"/>
  <c r="S201" i="3"/>
  <c r="W201" i="3"/>
  <c r="G194" i="3"/>
  <c r="M194" i="3"/>
  <c r="I194" i="3"/>
  <c r="N194" i="3" s="1"/>
  <c r="T40" i="3"/>
  <c r="S40" i="3"/>
  <c r="G170" i="3"/>
  <c r="I170" i="3"/>
  <c r="M170" i="3"/>
  <c r="R118" i="3"/>
  <c r="S118" i="3"/>
  <c r="R20" i="3"/>
  <c r="Y20" i="3" s="1"/>
  <c r="M193" i="3"/>
  <c r="G193" i="3"/>
  <c r="N193" i="3"/>
  <c r="I193" i="3"/>
  <c r="R4" i="1"/>
  <c r="Q4" i="1"/>
  <c r="V132" i="3"/>
  <c r="T132" i="3"/>
  <c r="Y132" i="3" s="1"/>
  <c r="W132" i="3"/>
  <c r="U132" i="3"/>
  <c r="C172" i="3"/>
  <c r="D49" i="3"/>
  <c r="R117" i="3"/>
  <c r="S117" i="3"/>
  <c r="R31" i="3"/>
  <c r="Y31" i="3" s="1"/>
  <c r="S31" i="3"/>
  <c r="R16" i="3"/>
  <c r="Y16" i="3" s="1"/>
  <c r="U84" i="3" l="1"/>
  <c r="T84" i="3"/>
  <c r="C71" i="3"/>
  <c r="Y84" i="3"/>
  <c r="V84" i="3"/>
  <c r="Y117" i="3"/>
  <c r="Y118" i="3"/>
  <c r="Y138" i="3"/>
  <c r="Y198" i="3"/>
  <c r="N46" i="3"/>
  <c r="K4" i="1"/>
  <c r="V134" i="1"/>
  <c r="Y195" i="3"/>
  <c r="Y200" i="3"/>
  <c r="S10" i="3"/>
  <c r="Y72" i="3"/>
  <c r="Y189" i="3"/>
  <c r="Y201" i="3"/>
  <c r="Y96" i="3"/>
  <c r="S3" i="1"/>
  <c r="Y60" i="3"/>
  <c r="Y174" i="3"/>
  <c r="Y41" i="3"/>
  <c r="Y102" i="3"/>
  <c r="R10" i="3"/>
  <c r="N69" i="3"/>
  <c r="Y77" i="3"/>
  <c r="R127" i="3"/>
  <c r="S127" i="3"/>
  <c r="Y127" i="3"/>
  <c r="T194" i="3"/>
  <c r="W194" i="3"/>
  <c r="V194" i="3"/>
  <c r="U194" i="3"/>
  <c r="D187" i="3"/>
  <c r="E266" i="3" s="1"/>
  <c r="Y190" i="3"/>
  <c r="Q3" i="1"/>
  <c r="Y188" i="3"/>
  <c r="K170" i="3"/>
  <c r="N170" i="3" s="1"/>
  <c r="U61" i="3"/>
  <c r="S61" i="3"/>
  <c r="R61" i="3"/>
  <c r="T61" i="3"/>
  <c r="R5" i="1"/>
  <c r="R3" i="1" s="1"/>
  <c r="K3" i="1" s="1"/>
  <c r="I142" i="3"/>
  <c r="I13" i="3" s="1"/>
  <c r="M142" i="3"/>
  <c r="M13" i="3" s="1"/>
  <c r="G142" i="3"/>
  <c r="T193" i="3"/>
  <c r="V193" i="3"/>
  <c r="V10" i="3" s="1"/>
  <c r="W193" i="3"/>
  <c r="W10" i="3" s="1"/>
  <c r="U193" i="3"/>
  <c r="P9" i="3"/>
  <c r="C187" i="3"/>
  <c r="E264" i="3" s="1"/>
  <c r="Y40" i="3"/>
  <c r="K141" i="3"/>
  <c r="N141" i="3" s="1"/>
  <c r="E13" i="3"/>
  <c r="R69" i="3" l="1"/>
  <c r="S69" i="3"/>
  <c r="Q69" i="3"/>
  <c r="C63" i="3"/>
  <c r="E263" i="3" s="1"/>
  <c r="K142" i="3"/>
  <c r="N142" i="3" s="1"/>
  <c r="Y61" i="3"/>
  <c r="Y194" i="3"/>
  <c r="D15" i="3"/>
  <c r="U46" i="3"/>
  <c r="V46" i="3"/>
  <c r="T46" i="3"/>
  <c r="U10" i="3"/>
  <c r="G13" i="3"/>
  <c r="S11" i="3"/>
  <c r="S9" i="3" s="1"/>
  <c r="T10" i="3"/>
  <c r="U141" i="3"/>
  <c r="V141" i="3"/>
  <c r="W141" i="3"/>
  <c r="T141" i="3"/>
  <c r="N10" i="3"/>
  <c r="Y193" i="3"/>
  <c r="K5" i="1"/>
  <c r="R11" i="3"/>
  <c r="D159" i="3"/>
  <c r="U170" i="3"/>
  <c r="T170" i="3"/>
  <c r="Y170" i="3" s="1"/>
  <c r="T142" i="3" l="1"/>
  <c r="V142" i="3"/>
  <c r="U142" i="3"/>
  <c r="Y142" i="3" s="1"/>
  <c r="D113" i="3"/>
  <c r="E265" i="3" s="1"/>
  <c r="E268" i="3" s="1"/>
  <c r="W142" i="3"/>
  <c r="N13" i="3"/>
  <c r="Y46" i="3"/>
  <c r="K13" i="3"/>
  <c r="T11" i="3"/>
  <c r="T9" i="3" s="1"/>
  <c r="Y69" i="3"/>
  <c r="Q11" i="3"/>
  <c r="Q9" i="3" s="1"/>
  <c r="Y141" i="3"/>
  <c r="W11" i="3"/>
  <c r="W9" i="3" s="1"/>
  <c r="R9" i="3"/>
  <c r="V11" i="3"/>
  <c r="V9" i="3" s="1"/>
  <c r="U11" i="3" l="1"/>
  <c r="U9" i="3" s="1"/>
  <c r="N9" i="3"/>
  <c r="N11" i="3"/>
</calcChain>
</file>

<file path=xl/sharedStrings.xml><?xml version="1.0" encoding="utf-8"?>
<sst xmlns="http://schemas.openxmlformats.org/spreadsheetml/2006/main" count="2163" uniqueCount="595">
  <si>
    <t xml:space="preserve"> </t>
  </si>
  <si>
    <t>M&amp;S Total</t>
  </si>
  <si>
    <t>Labor Total</t>
  </si>
  <si>
    <t>Total</t>
  </si>
  <si>
    <t>Reviewers</t>
  </si>
  <si>
    <t>R WBS</t>
  </si>
  <si>
    <t>System</t>
  </si>
  <si>
    <t>Detector</t>
  </si>
  <si>
    <t>item</t>
  </si>
  <si>
    <t>#units</t>
  </si>
  <si>
    <t>unit format</t>
  </si>
  <si>
    <t>cost/unit[$]</t>
  </si>
  <si>
    <t>comment</t>
  </si>
  <si>
    <t>t0-3</t>
  </si>
  <si>
    <t>t0-2</t>
  </si>
  <si>
    <t>t0-1</t>
  </si>
  <si>
    <t>t0</t>
  </si>
  <si>
    <t>t0+1</t>
  </si>
  <si>
    <t>t0+2</t>
  </si>
  <si>
    <t>t0+3</t>
  </si>
  <si>
    <t>t0+4</t>
  </si>
  <si>
    <t>t0+5</t>
  </si>
  <si>
    <t>Responsibility</t>
  </si>
  <si>
    <t>CHECK</t>
  </si>
  <si>
    <t>Cryostat Top Infrastructure</t>
  </si>
  <si>
    <t>Resnati</t>
  </si>
  <si>
    <t>131.04.01.06</t>
  </si>
  <si>
    <t>Cryostat Top infrastructure</t>
  </si>
  <si>
    <t>SS vertical tubes (feed thrus)</t>
  </si>
  <si>
    <t>M&amp;S</t>
  </si>
  <si>
    <t>tube</t>
  </si>
  <si>
    <t>SS tubes flanges (feed thrus)</t>
  </si>
  <si>
    <t>flange</t>
  </si>
  <si>
    <t>manholes</t>
  </si>
  <si>
    <t>manhole</t>
  </si>
  <si>
    <t>gate valves on instrumentation ports</t>
  </si>
  <si>
    <t>valves</t>
  </si>
  <si>
    <t>structural supports for feed thrus</t>
  </si>
  <si>
    <t>support</t>
  </si>
  <si>
    <t>gas exhaust pipe</t>
  </si>
  <si>
    <t>m</t>
  </si>
  <si>
    <t>exhaust valves</t>
  </si>
  <si>
    <t>valve</t>
  </si>
  <si>
    <t>flexibles to valves</t>
  </si>
  <si>
    <t>flex tubes</t>
  </si>
  <si>
    <t>exhaust valves  soft pipe</t>
  </si>
  <si>
    <t>exhaust valves fanout</t>
  </si>
  <si>
    <t>fanout</t>
  </si>
  <si>
    <t>gas analysers</t>
  </si>
  <si>
    <t>analyzer</t>
  </si>
  <si>
    <t>O2 trace analysers</t>
  </si>
  <si>
    <t>V (power) cable trays + supports</t>
  </si>
  <si>
    <t>signals cable trays + supports</t>
  </si>
  <si>
    <t>copper grounding for the cable trays</t>
  </si>
  <si>
    <t>Cryostat Top infrastructure labor</t>
  </si>
  <si>
    <t>Labor</t>
  </si>
  <si>
    <t>FTE years</t>
  </si>
  <si>
    <t>walking floor</t>
  </si>
  <si>
    <t>mq</t>
  </si>
  <si>
    <t>cable tray from CUC to racks mezzanine</t>
  </si>
  <si>
    <t>power racks on mezzanine</t>
  </si>
  <si>
    <t>rack</t>
  </si>
  <si>
    <t>racks internal power distribution</t>
  </si>
  <si>
    <t>distribution</t>
  </si>
  <si>
    <t>Resnati, Shaw</t>
  </si>
  <si>
    <t>racks controls + safety</t>
  </si>
  <si>
    <t>control box</t>
  </si>
  <si>
    <t>cryo vertical access doors</t>
  </si>
  <si>
    <t>access</t>
  </si>
  <si>
    <t>miniracks + supports</t>
  </si>
  <si>
    <t>racks</t>
  </si>
  <si>
    <t>Water cryo traps</t>
  </si>
  <si>
    <t>units</t>
  </si>
  <si>
    <t>Int Cryogenics</t>
  </si>
  <si>
    <t>David M</t>
  </si>
  <si>
    <t>pipes + fixations</t>
  </si>
  <si>
    <t>all</t>
  </si>
  <si>
    <t>Int Cryogenics labor</t>
  </si>
  <si>
    <t>assembly work 3 FTE for 6 months</t>
  </si>
  <si>
    <t>tec</t>
  </si>
  <si>
    <t>DSS</t>
  </si>
  <si>
    <t>Dimitar</t>
  </si>
  <si>
    <t>SS rails</t>
  </si>
  <si>
    <t>rail supports + feedthroughs</t>
  </si>
  <si>
    <t>SS support</t>
  </si>
  <si>
    <t>Installation equipment</t>
  </si>
  <si>
    <t>varia</t>
  </si>
  <si>
    <t>same as det 1</t>
  </si>
  <si>
    <t>sum</t>
  </si>
  <si>
    <t>Cranes</t>
  </si>
  <si>
    <t>Jean-Louis</t>
  </si>
  <si>
    <t>131.04.01.03</t>
  </si>
  <si>
    <t>bridge crane</t>
  </si>
  <si>
    <t>individual hoists</t>
  </si>
  <si>
    <t>hoist</t>
  </si>
  <si>
    <t>small material (slings, …)</t>
  </si>
  <si>
    <t>material</t>
  </si>
  <si>
    <t>same as det1</t>
  </si>
  <si>
    <t>Infrastructure</t>
  </si>
  <si>
    <t>detector mezzanine</t>
  </si>
  <si>
    <t>main bridge</t>
  </si>
  <si>
    <t>bridge</t>
  </si>
  <si>
    <t>hand rails</t>
  </si>
  <si>
    <t>connection cryostat-bridge</t>
  </si>
  <si>
    <t>stair to 4910</t>
  </si>
  <si>
    <t>stairs to mezzanines</t>
  </si>
  <si>
    <t>Patrick</t>
  </si>
  <si>
    <t>Unforeseen facility modifications</t>
  </si>
  <si>
    <t>/year</t>
  </si>
  <si>
    <t>licence engineering services</t>
  </si>
  <si>
    <t>131.04.01.02</t>
  </si>
  <si>
    <t>Control Rooms</t>
  </si>
  <si>
    <t>N/A</t>
  </si>
  <si>
    <t>screens in cntrl</t>
  </si>
  <si>
    <t>TV screen</t>
  </si>
  <si>
    <t>computers in cntrl</t>
  </si>
  <si>
    <t>computer</t>
  </si>
  <si>
    <t xml:space="preserve">Terri </t>
  </si>
  <si>
    <t>power distribution in cntrl</t>
  </si>
  <si>
    <t>power socket</t>
  </si>
  <si>
    <t>Net distribution in cavern/wifi</t>
  </si>
  <si>
    <t>routers</t>
  </si>
  <si>
    <t>tables and chairs</t>
  </si>
  <si>
    <t>tabel+2 ch</t>
  </si>
  <si>
    <t xml:space="preserve">misc items, tables, benches, water despencers, microwaves, shelves </t>
  </si>
  <si>
    <t>fire life safety/ barack</t>
  </si>
  <si>
    <t>fire life</t>
  </si>
  <si>
    <t>det 1 cryo room (cpu, screens, table)</t>
  </si>
  <si>
    <t>cntrl room</t>
  </si>
  <si>
    <t>det 2 cryo room (cpu, screens, table)</t>
  </si>
  <si>
    <t>baracks cryo 1+ light + power + desks</t>
  </si>
  <si>
    <t>barack</t>
  </si>
  <si>
    <t>baracks cryo 2+ light + power + desks</t>
  </si>
  <si>
    <t>Transport Tools</t>
  </si>
  <si>
    <t>engines</t>
  </si>
  <si>
    <t>engine</t>
  </si>
  <si>
    <t>wagons</t>
  </si>
  <si>
    <t>wagon</t>
  </si>
  <si>
    <t>mobile crane at shaft botton</t>
  </si>
  <si>
    <t>mob crane</t>
  </si>
  <si>
    <t>unit</t>
  </si>
  <si>
    <t>fixation material in shaft, guides</t>
  </si>
  <si>
    <t>tool</t>
  </si>
  <si>
    <t>basic rigging equipment</t>
  </si>
  <si>
    <t>Installation Tools</t>
  </si>
  <si>
    <t>basic clean room structure (metallic str.)</t>
  </si>
  <si>
    <t>basic clean room structure(walls)</t>
  </si>
  <si>
    <t>basic clean room structure(doors)</t>
  </si>
  <si>
    <t>clean room infrastructure</t>
  </si>
  <si>
    <t>131.04.01.07</t>
  </si>
  <si>
    <t>large platforms</t>
  </si>
  <si>
    <t>Bill</t>
  </si>
  <si>
    <t>personnel SAS outfitting</t>
  </si>
  <si>
    <t>internal bridge crane</t>
  </si>
  <si>
    <t>crane</t>
  </si>
  <si>
    <t>external rails (DSS type) + fixations</t>
  </si>
  <si>
    <t>ventilation system top man holes</t>
  </si>
  <si>
    <t>ventilation</t>
  </si>
  <si>
    <t>cold boxes</t>
  </si>
  <si>
    <t>cold box</t>
  </si>
  <si>
    <t>N2 system for cold boxes</t>
  </si>
  <si>
    <t>N2</t>
  </si>
  <si>
    <t>Jim / Bill</t>
  </si>
  <si>
    <t>CPA tool</t>
  </si>
  <si>
    <t>supports</t>
  </si>
  <si>
    <t>light</t>
  </si>
  <si>
    <t>Terri</t>
  </si>
  <si>
    <t>temporary power distribution</t>
  </si>
  <si>
    <t>power</t>
  </si>
  <si>
    <t>various mech.  tools</t>
  </si>
  <si>
    <t>tools</t>
  </si>
  <si>
    <t>safety</t>
  </si>
  <si>
    <t>spare parts</t>
  </si>
  <si>
    <t>electrical diagnostics equipment</t>
  </si>
  <si>
    <t>installation storage equipment</t>
  </si>
  <si>
    <t>Manhong</t>
  </si>
  <si>
    <t>floor inside cryostat + supports</t>
  </si>
  <si>
    <t>scaffolding rental/ (6 per 4 years)</t>
  </si>
  <si>
    <t>scaffolding/y</t>
  </si>
  <si>
    <t>machine shop</t>
  </si>
  <si>
    <t>mech shop</t>
  </si>
  <si>
    <t>installation tools</t>
  </si>
  <si>
    <t>reuse</t>
  </si>
  <si>
    <t>Material Handling in cavern and transport from cavern to SAS</t>
  </si>
  <si>
    <t>lifts for photon integration</t>
  </si>
  <si>
    <t>Benches for eating area outside cleanroom</t>
  </si>
  <si>
    <t>desk</t>
  </si>
  <si>
    <t>Areal Lift</t>
  </si>
  <si>
    <t>lift</t>
  </si>
  <si>
    <t>Computer Racks CUC</t>
  </si>
  <si>
    <t>Giovanna</t>
  </si>
  <si>
    <t>water cooled racks</t>
  </si>
  <si>
    <t>Jack</t>
  </si>
  <si>
    <t>Services Racks CUC</t>
  </si>
  <si>
    <t>water distribution</t>
  </si>
  <si>
    <t xml:space="preserve">CUC DAQ  AC Power   </t>
  </si>
  <si>
    <t>system</t>
  </si>
  <si>
    <t>controls and safety + leaks monitor</t>
  </si>
  <si>
    <t xml:space="preserve">Cables/Fibers/Power-cables </t>
  </si>
  <si>
    <t>fibers bundles APA on the detector roof</t>
  </si>
  <si>
    <t>15m ribbon</t>
  </si>
  <si>
    <t>pach panels for fibers APA</t>
  </si>
  <si>
    <t>patch panel</t>
  </si>
  <si>
    <t>fibers cords to DAQ room</t>
  </si>
  <si>
    <t>200m ribbon</t>
  </si>
  <si>
    <t>ethernet cablesfrom DAQ room - det racks</t>
  </si>
  <si>
    <t>control cables</t>
  </si>
  <si>
    <t>power cables on the detector roof</t>
  </si>
  <si>
    <t>power cables to tranformers</t>
  </si>
  <si>
    <t>transformers for ground decoupling</t>
  </si>
  <si>
    <t>transf</t>
  </si>
  <si>
    <t xml:space="preserve">Cables/Fibers/labor </t>
  </si>
  <si>
    <t>installation 2 FTE per 1 year</t>
  </si>
  <si>
    <t>FTE</t>
  </si>
  <si>
    <t>installation; same as det1</t>
  </si>
  <si>
    <t>Jim</t>
  </si>
  <si>
    <t>tools sets mechanis, optics</t>
  </si>
  <si>
    <t>tools electronics</t>
  </si>
  <si>
    <t>consumables</t>
  </si>
  <si>
    <t>offices in trailors complex</t>
  </si>
  <si>
    <t>trailor</t>
  </si>
  <si>
    <t>logistic software</t>
  </si>
  <si>
    <t>storage area rent (t0-2 to t0+4)</t>
  </si>
  <si>
    <t>rent</t>
  </si>
  <si>
    <t>20$/y/ftq, 5000 mq</t>
  </si>
  <si>
    <t xml:space="preserve">transport storage/shaft </t>
  </si>
  <si>
    <t>1 truck/year</t>
  </si>
  <si>
    <t>Tech Labor</t>
  </si>
  <si>
    <t>FTE/year</t>
  </si>
  <si>
    <t>Support Labor</t>
  </si>
  <si>
    <t>total</t>
  </si>
  <si>
    <t>SDSD M&amp;S</t>
  </si>
  <si>
    <t>cranes, infrstructure, control rooms, transport tools, storage</t>
  </si>
  <si>
    <t>SDSD labor</t>
  </si>
  <si>
    <t>cryostat top, internal cryo, cables, tech labor, support labor</t>
  </si>
  <si>
    <t>tech labor</t>
  </si>
  <si>
    <t>I&amp;I MS</t>
  </si>
  <si>
    <t>racks control units; overall power safety and fire extinguishing; other sensors included into racks cost; this does not include fire suppressant circuit outside racks</t>
  </si>
  <si>
    <r>
      <t>cable trays and supports</t>
    </r>
    <r>
      <rPr>
        <sz val="12"/>
        <rFont val="Calibri (Body)"/>
      </rPr>
      <t xml:space="preserve"> in CUC</t>
    </r>
  </si>
  <si>
    <r>
      <t xml:space="preserve">SS APA,CPA supports to rails </t>
    </r>
    <r>
      <rPr>
        <sz val="12"/>
        <rFont val="Calibri (Body)"/>
      </rPr>
      <t>and shuttle system</t>
    </r>
  </si>
  <si>
    <r>
      <t>installation</t>
    </r>
    <r>
      <rPr>
        <sz val="12"/>
        <rFont val="Calibri (Body)"/>
      </rPr>
      <t xml:space="preserve"> test equipment, QA, and shipping stuff</t>
    </r>
  </si>
  <si>
    <t>Power line (150m)</t>
  </si>
  <si>
    <t>power line</t>
  </si>
  <si>
    <t xml:space="preserve">Installation of cranes, hoist, power lines and 1rst inspection </t>
  </si>
  <si>
    <t>installation of handling equipement</t>
  </si>
  <si>
    <t>Hoists</t>
  </si>
  <si>
    <t>Cold box access lift</t>
  </si>
  <si>
    <t>Benches, racks, storage cabinets, shoe cleaners,etc..Revised from previous estimate for larger team and more changing rooms. No 30% added.  See detailed information on
https://edms.cern.ch/document/2216176</t>
  </si>
  <si>
    <t>Assume the work can be done with the Ascell/Spider lift. 30% added. See detailed information on
https://edms.cern.ch/document/2216358</t>
  </si>
  <si>
    <r>
      <t>CPA assembly tower</t>
    </r>
    <r>
      <rPr>
        <sz val="12"/>
        <rFont val="Calibri (Body)"/>
      </rPr>
      <t>/frame</t>
    </r>
  </si>
  <si>
    <r>
      <t>APA cabl</t>
    </r>
    <r>
      <rPr>
        <sz val="12"/>
        <rFont val="Calibri (Body)"/>
      </rPr>
      <t>e installation infrastructure</t>
    </r>
  </si>
  <si>
    <t>cable reels, sheave, supports etc. 30% added. See detailed information on
https://edms.cern.ch/document/2216673</t>
  </si>
  <si>
    <r>
      <t>cryostat</t>
    </r>
    <r>
      <rPr>
        <sz val="12"/>
        <rFont val="Calibri (Body)"/>
      </rPr>
      <t xml:space="preserve"> lights+</t>
    </r>
    <r>
      <rPr>
        <sz val="12"/>
        <rFont val="Calibri"/>
        <family val="2"/>
        <scheme val="minor"/>
      </rPr>
      <t>filters</t>
    </r>
  </si>
  <si>
    <t>UV filtered lights. All temporary devices lower via spare feedthroughts. ProtoDUNE experience. 30% added. See detailed information on
https://edms.cern.ch/document/2216712</t>
  </si>
  <si>
    <t xml:space="preserve">Final engineering still to be done. Simple estimate by weight. 2 tons/unit at 10$/kg. Does not include the assembly fixture-Consortia scope. 30% added. </t>
  </si>
  <si>
    <r>
      <t>Cleanroom</t>
    </r>
    <r>
      <rPr>
        <sz val="12"/>
        <rFont val="Calibri"/>
        <family val="2"/>
        <scheme val="minor"/>
      </rPr>
      <t xml:space="preserve"> safety tools (PPE,ODH, fire, …)</t>
    </r>
  </si>
  <si>
    <t>Based on recent cost experience from FNAl at SURF. No 30% added. See detailed information on
https://edms.cern.ch/document/2216753</t>
  </si>
  <si>
    <t>consumables, small items / 2 years 2 detectors</t>
  </si>
  <si>
    <t>year sets</t>
  </si>
  <si>
    <t>Material per year for 4 years. No 30% added. See detailed information on
https://edms.cern.ch/document/2216764</t>
  </si>
  <si>
    <t>clean room initial cleaning</t>
  </si>
  <si>
    <t>Based on the protodune experience, multiplied by 4 (surface ratio). 30% added. ProtoDUNE 14K$</t>
  </si>
  <si>
    <t>network anylizers scopes, spectrum anylizers, ESD work station, current probes, megOhm meter, etc..No 30%. See detailed information on
https://edms.cern.ch/document/2216764</t>
  </si>
  <si>
    <t>pallet racks, storage racks, flammable cabinet, general storage cabinets, wire cage. 30% added. See detailed information on
https://edms.cern.ch/document/2216991</t>
  </si>
  <si>
    <t>Marzio</t>
  </si>
  <si>
    <t>Infrastructure (131.04.01.06)</t>
  </si>
  <si>
    <t>Assembly tools (131.04.01.07)</t>
  </si>
  <si>
    <t>type</t>
  </si>
  <si>
    <r>
      <t xml:space="preserve">electronics racks </t>
    </r>
    <r>
      <rPr>
        <sz val="12"/>
        <rFont val="Calibri (Body)"/>
      </rPr>
      <t xml:space="preserve">for </t>
    </r>
    <r>
      <rPr>
        <sz val="12"/>
        <rFont val="Calibri"/>
        <family val="2"/>
        <scheme val="minor"/>
      </rPr>
      <t>testing</t>
    </r>
  </si>
  <si>
    <t>Based on plywood construction 930mq + ESD in the clean room. 30% added. See detailed information on
https://edms.cern.ch/document/2216992</t>
  </si>
  <si>
    <t>Fork lifts, pallet trucks, pallet racks, dolleys,etc. No 30%. See detailed information on https://edms.cern.ch/document/2217099</t>
  </si>
  <si>
    <t>Rental of 2 lifts for 48 months. 30% added. See detailed information on https://edms.cern.ch/document/2217099</t>
  </si>
  <si>
    <t>Basic estimation, 30% added to include substitution of brocken material</t>
  </si>
  <si>
    <t>month</t>
  </si>
  <si>
    <t>Lifts general  service contract</t>
  </si>
  <si>
    <t>Electronics racks for cold box 3, radk in barracks 2 one rack for testing in the CUC. Includes poer distribution network switch, smoke detector and power cutoff. 30% added. See detailed information on https://edms.cern.ch/document/2217147</t>
  </si>
  <si>
    <t>door</t>
  </si>
  <si>
    <t>26m 2 T crane. 30% added. See detailed information on
https://edms.cern.ch/document/2214872</t>
  </si>
  <si>
    <t>Rails from cryostat to cold boxes + trolleys. 30% added. See detailed information onhttps://edms.cern.ch/document/2214874</t>
  </si>
  <si>
    <t>This includes Hepa filter, man doors,  electrical distribution, fire suppression, lighting, environmental monitoring, particale counters, ESD Flooring, gowning room and airlock.30% added because large undecertainties in electrical and fire items. 30% added. See detailed information on
https://edms.cern.ch/document/2216173</t>
  </si>
  <si>
    <t>Cold boxes, N2 system</t>
  </si>
  <si>
    <t>reuse cold boxes, N2</t>
  </si>
  <si>
    <t>most old tools, few new. Simple estimation</t>
  </si>
  <si>
    <t>4 rolling scaffolding inside cryostat and two outside</t>
  </si>
  <si>
    <t xml:space="preserve">flanges, seals, tools, nuts and bolts, wire/cable, etc. Simple estimation based on protoDUNE experience. 30% added.  </t>
  </si>
  <si>
    <t>No 30% added. Need to add labor: 1,520 hr Sr Tech + 3,280 hr Sr Engineer + 1,040 hr Designer. + Manpower to support the testing: 5,520 hr Sr Tech/Operator + 720 hr Engineer. All numbers w/o contingency. No 30% added. See detailed information on
https://edms.cern.ch/document/2215077</t>
  </si>
  <si>
    <t>30% added. See detailed information on
https://edms.cern.ch/document/ 2215445.</t>
  </si>
  <si>
    <t>valves for the GN2 insulation control</t>
  </si>
  <si>
    <t>max size 250mm. Estimation based on te biggest flange. 30% added. See detailed information on https://edms.cern.ch/document/ 2215500</t>
  </si>
  <si>
    <t>SS tubes to be connected to GTT membrane. 30% added. See detailed information on https://edms.cern.ch/document/2215499</t>
  </si>
  <si>
    <t>Same as im protoDUNE, include shields.30% added. See detailed information on https://edms.cern.ch/document/ 2215502</t>
  </si>
  <si>
    <t>From protoDUNE, 30% added. See detailed information on https://edms.cern.ch/document/ 2215519</t>
  </si>
  <si>
    <t>Number of compressed air valves times their cost + a 4 mini-racks. 30% added. See detailed information on https://edms.cern.ch/document/ 2215565</t>
  </si>
  <si>
    <t xml:space="preserve">valves  </t>
  </si>
  <si>
    <t>soft pipes. 30% added. See detailed information on https://edms.cern.ch/document/ 2215529</t>
  </si>
  <si>
    <t>30% added. See detailed information on https://edms.cern.ch/document/ 2215532</t>
  </si>
  <si>
    <t>to map possible leaks problems. 30% added. See detailed information on https://edms.cern.ch/document/ 2215535</t>
  </si>
  <si>
    <t>specialized welders team det1</t>
  </si>
  <si>
    <t>specialised welders team det2</t>
  </si>
  <si>
    <t>50 cm (conservative) cable trays + 1 m logn 40 mm square bars for the supports every meter of cable tray (conserative). 30% added. See detailed information on https://edms.cern.ch/document/ 2215539</t>
  </si>
  <si>
    <t>SDSD Labor</t>
  </si>
  <si>
    <t>Mecanical structures</t>
  </si>
  <si>
    <t>I&amp;I M&amp;S</t>
  </si>
  <si>
    <t>I&amp;I labor</t>
  </si>
  <si>
    <t xml:space="preserve"> total</t>
  </si>
  <si>
    <t>cryostat top, internal cryo, DSS, computer racks, cables, instalaltion tools,..</t>
  </si>
  <si>
    <t>same as det1 SDSD</t>
  </si>
  <si>
    <t>same as det1 I&amp;I</t>
  </si>
  <si>
    <t>post CF contracts: just a guess</t>
  </si>
  <si>
    <t>contingency</t>
  </si>
  <si>
    <t xml:space="preserve">escalation </t>
  </si>
  <si>
    <t>SD tax</t>
  </si>
  <si>
    <t>escaltion  3 years</t>
  </si>
  <si>
    <t>escalation 4 years</t>
  </si>
  <si>
    <t>escalaton  5  years</t>
  </si>
  <si>
    <t>coef</t>
  </si>
  <si>
    <t>Alimak procurement</t>
  </si>
  <si>
    <t>Electrician on call (1 FTE, 6years)</t>
  </si>
  <si>
    <t>Electrician on call (2 FTE, 6years)</t>
  </si>
  <si>
    <t>Ventil./water/network on call (1 FTE, 6years)</t>
  </si>
  <si>
    <t>Ventil./water/network on call (2 FTE, 6years)</t>
  </si>
  <si>
    <t>Surveyors (2 FTE, 6 years)</t>
  </si>
  <si>
    <t>Transport crews to cavern (12 FTE,6years)</t>
  </si>
  <si>
    <t>Safety coordination (3 FTE,6 years)</t>
  </si>
  <si>
    <t>storage core tecs crew (3 FTE, 8 years)</t>
  </si>
  <si>
    <t>construction  managers (3 FTE,4 years)</t>
  </si>
  <si>
    <t>core tecs crew (9 FTE, 4 years)</t>
  </si>
  <si>
    <t>core tecs crew (1 FTE, 4 years)</t>
  </si>
  <si>
    <t>crane drivers  caverns (5 FTE  6  years)</t>
  </si>
  <si>
    <t>crane drivers  caverns (1 FTE  6  years)</t>
  </si>
  <si>
    <t>CF250 gate valves as in protoDUNE. Just on selected feedthroughs. 30% added. See detailed information on https://edms.cern.ch/document/ 2215505</t>
  </si>
  <si>
    <t>1000$/day, 6 days/week.  See detailed information on https://edms.cern.ch/document/ 2218842. Direct procurement might be competitive.</t>
  </si>
  <si>
    <t>30% added. See detailed information on https://edms.cern.ch/document/ 2218846</t>
  </si>
  <si>
    <t>Guess. More engineering needed</t>
  </si>
  <si>
    <t>2 fork lifts underground electric, 6 years</t>
  </si>
  <si>
    <t>Tools for use in storage and cavern. 30% added. See detailed information on https://edms.cern.ch/document/ 2218848</t>
  </si>
  <si>
    <t>Tools for use in storage and cavern. 30% added. See detailed information on https://edms.cern.ch/document/ 2218849</t>
  </si>
  <si>
    <t>30% added. See detailed information on https://edms.cern.ch/document/2215247</t>
  </si>
  <si>
    <t>Storage/offices/varia</t>
  </si>
  <si>
    <t>Porta-Potty Service</t>
  </si>
  <si>
    <t>Hand Washing Stations</t>
  </si>
  <si>
    <t>Janitorial Service</t>
  </si>
  <si>
    <t>Trash/Recycling Service</t>
  </si>
  <si>
    <t>Cardboard baler</t>
  </si>
  <si>
    <t>30% added. See detailed information on https://edms.cern.ch/document/ 2218851</t>
  </si>
  <si>
    <t>sensors, fire detectors, controls, ventilation. 30% added. See detailed information on https://edms.cern.ch/document/2215442</t>
  </si>
  <si>
    <t>underground cntrl room. 30% added. See detailed information on https://edms.cern.ch/document/2215431</t>
  </si>
  <si>
    <t>inside cryostat.  30% added. See detailed information on
https://edms.cern.ch/document/2215432</t>
  </si>
  <si>
    <t>30% added for additional tools. See detailed information on https://edms.cern.ch/document/2215441</t>
  </si>
  <si>
    <t>UPS in CUC</t>
  </si>
  <si>
    <t>UPS for all DAQ</t>
  </si>
  <si>
    <t>12 fibres  cords OM3 terminated MTP12. 30% added for additional tools. See detailed information on https://edms.cern.ch/document/2215450</t>
  </si>
  <si>
    <t>on detector racks. 30% added for additional tools. See detailed information on https://edms.cern.ch/document/2215456</t>
  </si>
  <si>
    <t>12 fibres  cords OM3 terminated MTP12. 30% added for additional tools. See detailed information on https://edms.cern.ch/document/2215451</t>
  </si>
  <si>
    <t>2 fibres  cords OM3 terminated MTP12. 30% added for additional tools. See detailed information on https://edms.cern.ch/document/2215455</t>
  </si>
  <si>
    <t>include connectors. 30% added for additional tools. See detailed information on https://edms.cern.ch/document/2215675</t>
  </si>
  <si>
    <t>30% added for additional tools. See detailed information on https://edms.cern.ch/document/2215452</t>
  </si>
  <si>
    <t>include connectors. 30% added for additional tools. See detailed information on https://edms.cern.ch/document/2215453</t>
  </si>
  <si>
    <t>4x ~120m including power panels and rack wiring. 30% added for additional tools. See detailed information on https://edms.cern.ch/document/2215454</t>
  </si>
  <si>
    <t>with service. See detailed information on https://edms.cern.ch/document/ 2218850</t>
  </si>
  <si>
    <t>See detailed information on https://edms.cern.ch/document/ 2218965</t>
  </si>
  <si>
    <t>See detailed information on https://edms.cern.ch/document/ 2218970</t>
  </si>
  <si>
    <t>years</t>
  </si>
  <si>
    <t>30% added.See detailed information on https://edms.cern.ch/document/ 2218974</t>
  </si>
  <si>
    <t>Last update</t>
  </si>
  <si>
    <t>total CORE[k$]</t>
  </si>
  <si>
    <t>[FY19]</t>
  </si>
  <si>
    <t>hoverhead contracts</t>
  </si>
  <si>
    <t>hoverhead labor staff</t>
  </si>
  <si>
    <t xml:space="preserve">  </t>
  </si>
  <si>
    <t>totals [k$]</t>
  </si>
  <si>
    <t>total [kS]</t>
  </si>
  <si>
    <t>labor[K$]</t>
  </si>
  <si>
    <t>M$S[K$]</t>
  </si>
  <si>
    <t>Metrology material</t>
  </si>
  <si>
    <t>See detailed information on https://edms.cern.ch/document/2214865</t>
  </si>
  <si>
    <t>See detailed information on https://edms.cern.ch/document/2214866</t>
  </si>
  <si>
    <t>See detailed information on https://edms.cern.ch/document/2214867</t>
  </si>
  <si>
    <t>1 cold box = 11 tons Stainles Steel (50K$) + 10 tons insulation (20K$) + 20% of additional material = 84k$. Assembly 3 tecs for 2 months = 48K$ + doors (45K$) = 177K$. 30% added. See detailed information on  https://edms.cern.ch/document/2214875</t>
  </si>
  <si>
    <t>Pallazani in the cryostat. 27m. Catalogue price 140K$. 30% added. See detailed information on https://edms.cern.ch/document/2214878</t>
  </si>
  <si>
    <t>primary pumps</t>
  </si>
  <si>
    <t>pumps</t>
  </si>
  <si>
    <t>turbo pumps</t>
  </si>
  <si>
    <t>He leak checkers</t>
  </si>
  <si>
    <t>analyser</t>
  </si>
  <si>
    <t>vacuum tools</t>
  </si>
  <si>
    <t>lights under the mezzanines</t>
  </si>
  <si>
    <t>~125 $ for 5 m long LED strip (190 lm/m) and power supply for 50 W. https://edms.cern.ch/document/2220587</t>
  </si>
  <si>
    <t>Plywood 24 mm thick. https://edms.cern.ch/document/2217832</t>
  </si>
  <si>
    <t>standard 42U racks with doors. CERN price. https://edms.cern.ch/document/2217836</t>
  </si>
  <si>
    <t>2x 10 sockets 13 A. https://edms.cern.ch/document/2217833</t>
  </si>
  <si>
    <t xml:space="preserve">access control to stairs external cryo. 6 $/kg x 200 kg of material per door. 30&amp; added. </t>
  </si>
  <si>
    <t>Actual valve purchaised for ProtoDUNEs. https://edms.cern.ch/document/2217837</t>
  </si>
  <si>
    <t>simple estimation</t>
  </si>
  <si>
    <t>underground cntrl room. 30% added. ; https://edms.cern.ch/document/2214197</t>
  </si>
  <si>
    <t xml:space="preserve"> includes switches and copper cables; no uplinks which go into DAQ; NOT WIFI, only ethernet connections to electronics and slow control devices. ; https://edms.cern.ch/document/2214219/1 ; https://edms.cern.ch/document/2214283/1</t>
  </si>
  <si>
    <t>Quote for 42U racks with simple PDUs; https://edms.cern.ch/document/2214199 ; https://edms.cern.ch/document/2214222</t>
  </si>
  <si>
    <t>racks control units; overall power safety and fire extinguishing; other sensors included into racks cost; this does not include fire suppressant circuit outside racks ; https://edms.cern.ch/document/2214268</t>
  </si>
  <si>
    <t>Defined by ISO8 ventillaiton requirements. 30% for maintenance on top. Quote is $10.4k per unit. Operations cost in consumables https://edms.cern.ch/document/2221643/1</t>
  </si>
  <si>
    <t>Clean hand tools in paricular. 30% added for additional tools. See detailed information on https://edms.cern.ch/document/2221644</t>
  </si>
  <si>
    <t>Position</t>
  </si>
  <si>
    <t>Name</t>
  </si>
  <si>
    <t>Affiliation</t>
  </si>
  <si>
    <t>FY22</t>
  </si>
  <si>
    <t>FY23</t>
  </si>
  <si>
    <t>FY24</t>
  </si>
  <si>
    <t>FY25</t>
  </si>
  <si>
    <t>FY26</t>
  </si>
  <si>
    <t>FY27</t>
  </si>
  <si>
    <t>FY28</t>
  </si>
  <si>
    <t>FY29</t>
  </si>
  <si>
    <t>Domestic</t>
  </si>
  <si>
    <t>International</t>
  </si>
  <si>
    <t>Integration Office (131.04.01):</t>
  </si>
  <si>
    <t>FNAL</t>
  </si>
  <si>
    <t>Engineering Review</t>
  </si>
  <si>
    <t>Review Coordinator Travel</t>
  </si>
  <si>
    <t>Collaboration Scientists</t>
  </si>
  <si>
    <t>X</t>
  </si>
  <si>
    <t>Detector Installation Coordinator</t>
  </si>
  <si>
    <t>Bill Miller ($211k)</t>
  </si>
  <si>
    <t>Minnesota</t>
  </si>
  <si>
    <t>Deputy Detector Installation Coor.</t>
  </si>
  <si>
    <t>James Stewart</t>
  </si>
  <si>
    <t>BNL</t>
  </si>
  <si>
    <t>Electrical Integration Technician</t>
  </si>
  <si>
    <t>Chief engineer</t>
  </si>
  <si>
    <t>Chief design  engineer</t>
  </si>
  <si>
    <t>Jack Fowler</t>
  </si>
  <si>
    <t>Justin Fritag</t>
  </si>
  <si>
    <t>JPO</t>
  </si>
  <si>
    <t>SDSD</t>
  </si>
  <si>
    <t>tba</t>
  </si>
  <si>
    <t>SURF</t>
  </si>
  <si>
    <t>Annual Travel [$]</t>
  </si>
  <si>
    <t>cost US [$]</t>
  </si>
  <si>
    <t>24/7 electrician intervention</t>
  </si>
  <si>
    <t>24/7 HVAC/net  intervention</t>
  </si>
  <si>
    <t>JPO SDSD staff: not on project</t>
  </si>
  <si>
    <t>core tec crew leader + deputy</t>
  </si>
  <si>
    <t>chief crane driver/transport + deputy</t>
  </si>
  <si>
    <t>cost US /y [$]</t>
  </si>
  <si>
    <t>lasers  theodolites, reflectors, software.  30% added, waiting for an offer. See detailed information on https://edms.cern.ch/document/ 2221988</t>
  </si>
  <si>
    <t>Quote for the scisor lift of $695/month from Rapid City Supplier. 30% added</t>
  </si>
  <si>
    <t>alimakr</t>
  </si>
  <si>
    <t>estimate based on 8'x20' control room. Provided by J. Niehoff 650 per sprinkler head (2), 600 per detector (1), with 20% labor difficulties.  30% added</t>
  </si>
  <si>
    <t>2 electric hoists at shaft bottom with maintenance included See transport tools tab.</t>
  </si>
  <si>
    <t>headframe transport tools telehandler rental</t>
  </si>
  <si>
    <t>headframe transport tools forklift rental</t>
  </si>
  <si>
    <t>headframe transport tools forklift purchase</t>
  </si>
  <si>
    <t>All terrain pallet jack for surface</t>
  </si>
  <si>
    <t>rental/yr</t>
  </si>
  <si>
    <t>purchase</t>
  </si>
  <si>
    <t>rental/y</t>
  </si>
  <si>
    <t>1 standup forklift</t>
  </si>
  <si>
    <t>Purchase</t>
  </si>
  <si>
    <t>Personnel Carriers</t>
  </si>
  <si>
    <t>Pallet Jacks</t>
  </si>
  <si>
    <t>Based on quotes for needed forklifts</t>
  </si>
  <si>
    <t>Standup Forklift to purchase and keep during operations. Includes maintenance</t>
  </si>
  <si>
    <t>Pallet Jacks for underground, includes maintenance</t>
  </si>
  <si>
    <t>Special SS production 6m. See detailed information on https://edms.cern.ch/document/2214560</t>
  </si>
  <si>
    <t>Complex regulation system and feedthrough. See detailed information on https://edms.cern.ch/document/2214863</t>
  </si>
  <si>
    <t xml:space="preserve">interface point needs to be identified (not installation tool, but permanent fixations). Should include trollies, beam crawlers, controls,  stops, brackets, power, TCO beam and supports. </t>
  </si>
  <si>
    <t>gantry top of cryo, portable cleanroom tent for each feedthrough + personnel access, locks and controls, beam crawlers, installation tools, support blocks, survey targets. See detailed information on https://edms.cern.ch/document/2222063</t>
  </si>
  <si>
    <t>leak chaser, tooling, test vacuum vessel, shipping rig for going underground, Al pallets, crates for I-beam transport, ultrasonic cleaner, shrink wrap. See detailed information on https://edms.cern.ch/document/2222064</t>
  </si>
  <si>
    <t>structure</t>
  </si>
  <si>
    <t>Simple steel support structure, including the floor and fixations to the cryostat. 38.3 tons at 4.2$/kg. See detailed information on https://edms.cern.ch/document/2215252</t>
  </si>
  <si>
    <t xml:space="preserve">Same beams as cryostat including the floor and fixations to concrete. 26.2 tons at 4.2$/kg. See detailed information on https://edms.cern.ch/document/2215253 </t>
  </si>
  <si>
    <t>Simple steel structure, including the floor and fixations to the bridge and the cryostat. 1.7 tons at 4.2$/kg. See detailed information on https://edms.cern.ch/document/2221877</t>
  </si>
  <si>
    <t>Steel framing, door frames, wall supports/framing. Includes all 3 SAS. Weight 41 tons at 4.2$/kg including shipping. See detailed information on https://edms.cern.ch/document/2214868</t>
  </si>
  <si>
    <t>walls, roofs</t>
  </si>
  <si>
    <t>All sheeting including all 3 SAS. Total 1'300mq. Offer protoDUNE = 80$/mq. See detailed information on https://edms.cern.ch/document/2214869</t>
  </si>
  <si>
    <t>Doors to put in door frames. See detailed information on https://edms.cern.ch/document/2214870</t>
  </si>
  <si>
    <t>2 level fixed platforms, including floor and handrail. See detailed information on https://edms.cern.ch/document/2214871</t>
  </si>
  <si>
    <t>scissor lifts rental (6 per 48 months)</t>
  </si>
  <si>
    <t>Division Head</t>
  </si>
  <si>
    <t>Deputy Division Head</t>
  </si>
  <si>
    <t>Far Site Logisitics Coordinator</t>
  </si>
  <si>
    <t>SDSD Administrative Support</t>
  </si>
  <si>
    <t>Patrick Weber</t>
  </si>
  <si>
    <t>Joe Pygott</t>
  </si>
  <si>
    <t>Ladia Jacubek</t>
  </si>
  <si>
    <t>Natasha Schweitzer</t>
  </si>
  <si>
    <t>SD Service Division (131.04.02):</t>
  </si>
  <si>
    <t>Pumping station: primary pump and turbo pump. 30% added. https://edms.cern.ch/document/2220601</t>
  </si>
  <si>
    <t>Primary pump. CERN price. https://edms.cern.ch/document/2220588. 30% added.</t>
  </si>
  <si>
    <t>M&amp;S same as det1</t>
  </si>
  <si>
    <t>M&amp;S det2 same as det1</t>
  </si>
  <si>
    <t>offer 2017. add 30%. See detailed information on https://edms.cern.ch/document/2225274</t>
  </si>
  <si>
    <t>SD controls and permits on unforeseen work:  just a guess</t>
  </si>
  <si>
    <t>30% added. See detailed information on https://edms.cern.ch/document/ 2225275</t>
  </si>
  <si>
    <t>6 wagons at 18K each. 30% added. See detailed information on https://edms.cern.ch/document/ 2225276</t>
  </si>
  <si>
    <t>30% added. See detailed information on https://edms.cern.ch/document/ 2225277</t>
  </si>
  <si>
    <t xml:space="preserve">30% added. See detailed information on https://edms.cern.ch/document/ 2225279 </t>
  </si>
  <si>
    <t>30% added. See detailed information on https://edms.cern.ch/document/ 2225278</t>
  </si>
  <si>
    <t>Personnel carriers. Include maintenance. See transport tools tab. See detailed information on https://edms.cern.ch/document/ 2225280</t>
  </si>
  <si>
    <t>Surface, 4850, and the caverns. Includes 15% annual replacement costs for the materials.30% added. See detailed information on https://edms.cern.ch/document/ 2225281</t>
  </si>
  <si>
    <t>Service of all lift, fork lifts. 30% added. See detailed information on https://edms.cern.ch/document/ 2225282</t>
  </si>
  <si>
    <t>Surface office space: https://shop.fsindustries.com/product/ov820-4e-gr-quick-ship-modular-office/134294. 30% added. See detailed information on https://edms.cern.ch/document/ 2225283</t>
  </si>
  <si>
    <t>y</t>
  </si>
  <si>
    <t>n</t>
  </si>
  <si>
    <t>US project y/n</t>
  </si>
  <si>
    <t>hoverhead on large contracts</t>
  </si>
  <si>
    <t>contingency  for staff</t>
  </si>
  <si>
    <t>contingency  for contracts</t>
  </si>
  <si>
    <t>David</t>
  </si>
  <si>
    <t>Condensation prevention system</t>
  </si>
  <si>
    <t>pipes</t>
  </si>
  <si>
    <t>Add 30%. See detailed information on   https://edms.cern.ch/project/CERN-0000201944</t>
  </si>
  <si>
    <t>Grouting below cryostat</t>
  </si>
  <si>
    <t>spacers</t>
  </si>
  <si>
    <t>Compensation for lost of time to work</t>
  </si>
  <si>
    <t>compensation</t>
  </si>
  <si>
    <t>Liability for work non possible, because external problems. Compensation to firms. Initial estimation</t>
  </si>
  <si>
    <t>3 welders cryo pipes and supports specialists. Local staff employee, specialists (31.98$/h, 60h/w). Based on Fermilab rates for H-7 pay range zone 3 max.  No Labs overheads added here.</t>
  </si>
  <si>
    <t>3 welders for flanges and various supports, specialists. Local staff employee, specialists (31.98$/h, 60h/w). Based on Fermilab rates for H-7 pay range zone 3 max.  No Labs overheads added here.</t>
  </si>
  <si>
    <t>install all cables and connectors needed in situ.  Local staff employee, specialists (31.98$/h, 60h/w). Based on Fermilab rates for H-7 pay range zone 3 max.  No Labs overheads added here.</t>
  </si>
  <si>
    <t>Local staff employee, specialists (31.98$/h, 60h/w). Based on Fermilab rates for H-7 pay range zone 3 max.  No Labs overheads added here.</t>
  </si>
  <si>
    <t>Local staff employee, specialists (100K$/y, 40h/week). Based on Fermilab rates for A-5 mid point. No Labs overheads added here.</t>
  </si>
  <si>
    <t>Local staff employee, specialists (100K$/y,40h/week). Based on Fermilab rates for A-6 mid point. No Labs overheads added here.</t>
  </si>
  <si>
    <t>Non local staff employee, specialists (31.98$/h, 60h/w). Based on Fermilab rates for H-7 pay range zone 3 max. + lodging 22k/y.  No Labs overheads added here.</t>
  </si>
  <si>
    <t>overhead</t>
  </si>
  <si>
    <t>total [K$]</t>
  </si>
  <si>
    <t>last update  9-10-2019</t>
  </si>
  <si>
    <t>100$/h, 40h /week, 6 weeks /6 workers. 30% added. See detailed information on https://edms.cern.ch/document/2215247</t>
  </si>
  <si>
    <t xml:space="preserve">Grouting for cryostat floor support, electrical isolation pads to be inserted under the cryostat. Add 30%. Simple estimation (material+hours)   </t>
  </si>
  <si>
    <t>on cryo mezzanine, simple estimation</t>
  </si>
  <si>
    <t>Steel profiles, cut and prepared.Counting 2 m 50 mm square bars per feedtgrough, 15$/m.. 30% added. https://edms.cern.ch/document/2217828</t>
  </si>
  <si>
    <t>Counting 40 CHF/m plus 40 tees, 40 caps, 40 angles and 170 supports, diameter 100mm, 30% added. https://edms.cern.ch/document/2217829</t>
  </si>
  <si>
    <t>1cm diamter copper bundle. 80$/m https://edms.cern.ch/document/2217830/1</t>
  </si>
  <si>
    <t>50 cm (conservative) cable trays + 2.5 m logn 40 mm square bars for the supports every meter of cable tray. https://edms.cern.ch/document/ 2215539</t>
  </si>
  <si>
    <t>Rack+2m square bars for support. 30% added https://edms.cern.ch/document/2217829 https://edms.cern.ch/document/2217834/1</t>
  </si>
  <si>
    <t>protoDUNE experience. 30% added. https://edms.cern.ch/document/2217835/1</t>
  </si>
  <si>
    <t>To control the GAr flux. CERN catalogue. 30% added. See detailed information on https://edms.cern.ch/document/2215515</t>
  </si>
  <si>
    <t>We have formal offers.  30% added. https://edms.cern.ch/document/2220602</t>
  </si>
  <si>
    <t>selas, clamps, adapters, blind, valves, … Estimated from b.182 experience https://edms.cern.ch/document/2260262/1</t>
  </si>
  <si>
    <t>Electrical</t>
  </si>
  <si>
    <t>Cryogenic</t>
  </si>
  <si>
    <t>Cryostat Top infrastructure SS vertical tubes (feed thrus)</t>
  </si>
  <si>
    <t>Cryostat Top infrastructure SS tubes flanges (feed thrus)</t>
  </si>
  <si>
    <t>Cryostat Top infrastructure manholes</t>
  </si>
  <si>
    <t>Cryostat Top infrastructure gate valves on instrumentation ports</t>
  </si>
  <si>
    <t>Cryostat Top infrastructure structural supports for feed thrus</t>
  </si>
  <si>
    <t>Cryostat Top infrastructure gas exhaust pipe</t>
  </si>
  <si>
    <t>Cryostat Top infrastructure exhaust valves</t>
  </si>
  <si>
    <t>Cryostat Top infrastructure flexibles to valves</t>
  </si>
  <si>
    <t>Cryostat Top infrastructure exhaust valves  soft pipe</t>
  </si>
  <si>
    <t>Cryostat Top infrastructure exhaust valves fanout</t>
  </si>
  <si>
    <t>Cryostat Top infrastructure gas analysers</t>
  </si>
  <si>
    <t>Cryostat Top infrastructure O2 trace analysers</t>
  </si>
  <si>
    <t>Cryostat Top infrastructure primary pumps</t>
  </si>
  <si>
    <t>Cryostat Top infrastructure turbo pumps</t>
  </si>
  <si>
    <t>Cryostat Top infrastructure He leak checkers</t>
  </si>
  <si>
    <t>Cryostat Top infrastructure vacuum tools</t>
  </si>
  <si>
    <t>Cryostat Top infrastructure lights under the mezzanines</t>
  </si>
  <si>
    <t>Cryostat Top infrastructure V (power) cable trays + supports</t>
  </si>
  <si>
    <t>Cryostat Top infrastructure signals cable trays + supports</t>
  </si>
  <si>
    <t>Cryostat Top infrastructure copper grounding for the cable trays</t>
  </si>
  <si>
    <t>Cryostat Top infrastructure labor specialized welders team det1</t>
  </si>
  <si>
    <t>Cryostat Top infrastructure walking floor</t>
  </si>
  <si>
    <t>Cryostat Top infrastructure cable tray from CUC to racks mezzanine</t>
  </si>
  <si>
    <t>Cryostat Top infrastructure power racks on mezzanine</t>
  </si>
  <si>
    <t>Cryostat Top infrastructure racks internal power distribution</t>
  </si>
  <si>
    <t>Cryostat Top infrastructure racks controls + safety</t>
  </si>
  <si>
    <t>Cryostat Top infrastructure cryo vertical access doors</t>
  </si>
  <si>
    <t>Cryostat Top infrastructure miniracks + supports</t>
  </si>
  <si>
    <t>Cryostat Top infrastructure Water cryo traps</t>
  </si>
  <si>
    <t>Cryostat Top infrastructure valves for the GN2 insulation control</t>
  </si>
  <si>
    <t>Cryostat Top infrastructure M&amp;S det2 same as det1</t>
  </si>
  <si>
    <t>Cryostat Top infrastructure labor specialised welders team det2</t>
  </si>
  <si>
    <t>Int Cryogenics pipes + fixations</t>
  </si>
  <si>
    <t>Infrastructure Alimak procurement</t>
  </si>
  <si>
    <t>Transport Tools engines</t>
  </si>
  <si>
    <t>Transport Tools wagons</t>
  </si>
  <si>
    <t>Transport Tools mobile crane at shaft botton</t>
  </si>
  <si>
    <t>Transport Tools headframe transport tools telehandler rental</t>
  </si>
  <si>
    <t>Transport Tools headframe transport tools forklift rental</t>
  </si>
  <si>
    <t>Transport Tools headframe transport tools forklift purchase</t>
  </si>
  <si>
    <t>Transport Tools All terrain pallet jack for surface</t>
  </si>
  <si>
    <t>Transport Tools fixation material in shaft, guides</t>
  </si>
  <si>
    <t>Transport Tools basic rigging equipment</t>
  </si>
  <si>
    <t>Transport Tools 2 fork lifts underground electric, 6 years</t>
  </si>
  <si>
    <t>Transport Tools 1 standup forklift</t>
  </si>
  <si>
    <t>Transport Tools Personnel Carriers</t>
  </si>
  <si>
    <t>Transport Tools Pallet Jacks</t>
  </si>
  <si>
    <t>Integrate APA</t>
  </si>
  <si>
    <t>Integrate HV system (CPA, FC, EW, HV probe)</t>
  </si>
  <si>
    <t xml:space="preserve">Integrate CE </t>
  </si>
  <si>
    <t>Integrate PD</t>
  </si>
  <si>
    <t>Integrate all detector services contained inside LAr volumn (both gas and liquid) including the support required for these services</t>
  </si>
  <si>
    <t>Integrate all connections to DSS beam from the detector elements for the final installed state</t>
  </si>
  <si>
    <t xml:space="preserve"> Detector Installation  Justin</t>
  </si>
  <si>
    <t>Detector Integration   Kyle</t>
  </si>
  <si>
    <t>Facility   Jack Dimitar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</si>
</sst>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"/>
    <numFmt numFmtId="166" formatCode="#,##0.000"/>
  </numFmts>
  <fonts count="19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215967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000000"/>
      <name val="Helvetica"/>
      <family val="2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 (Body)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1" fontId="1" fillId="0" borderId="0" xfId="0" applyNumberFormat="1" applyFont="1"/>
    <xf numFmtId="9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0" xfId="0" applyFont="1" applyAlignment="1">
      <alignment horizontal="left" wrapText="1"/>
    </xf>
    <xf numFmtId="0" fontId="1" fillId="4" borderId="0" xfId="0" applyFont="1" applyFill="1" applyAlignment="1">
      <alignment horizontal="left" wrapText="1"/>
    </xf>
    <xf numFmtId="3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3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1" fontId="5" fillId="0" borderId="0" xfId="0" applyNumberFormat="1" applyFont="1"/>
    <xf numFmtId="0" fontId="2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/>
    <xf numFmtId="0" fontId="1" fillId="5" borderId="0" xfId="0" applyFont="1" applyFill="1" applyAlignment="1">
      <alignment wrapText="1"/>
    </xf>
    <xf numFmtId="1" fontId="1" fillId="5" borderId="0" xfId="0" applyNumberFormat="1" applyFont="1" applyFill="1"/>
    <xf numFmtId="0" fontId="0" fillId="0" borderId="0" xfId="0"/>
    <xf numFmtId="3" fontId="1" fillId="6" borderId="0" xfId="0" applyNumberFormat="1" applyFont="1" applyFill="1"/>
    <xf numFmtId="0" fontId="1" fillId="0" borderId="0" xfId="0" applyFont="1"/>
    <xf numFmtId="0" fontId="0" fillId="0" borderId="0" xfId="0"/>
    <xf numFmtId="0" fontId="0" fillId="0" borderId="0" xfId="0" applyAlignment="1">
      <alignment vertical="top"/>
    </xf>
    <xf numFmtId="3" fontId="1" fillId="6" borderId="2" xfId="0" applyNumberFormat="1" applyFont="1" applyFill="1" applyBorder="1" applyAlignment="1">
      <alignment horizontal="left" vertical="top" wrapText="1"/>
    </xf>
    <xf numFmtId="0" fontId="1" fillId="7" borderId="0" xfId="0" applyFont="1" applyFill="1" applyAlignment="1">
      <alignment wrapText="1"/>
    </xf>
    <xf numFmtId="0" fontId="1" fillId="0" borderId="0" xfId="0" applyFont="1" applyFill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0" fontId="1" fillId="0" borderId="0" xfId="0" applyFont="1" applyAlignment="1"/>
    <xf numFmtId="1" fontId="1" fillId="0" borderId="0" xfId="0" applyNumberFormat="1" applyFont="1" applyFill="1"/>
    <xf numFmtId="0" fontId="1" fillId="0" borderId="0" xfId="0" applyFont="1"/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0" fillId="0" borderId="0" xfId="0" applyFill="1"/>
    <xf numFmtId="0" fontId="5" fillId="0" borderId="0" xfId="0" applyFont="1" applyAlignment="1"/>
    <xf numFmtId="1" fontId="5" fillId="0" borderId="0" xfId="0" applyNumberFormat="1" applyFont="1" applyAlignment="1"/>
    <xf numFmtId="3" fontId="5" fillId="0" borderId="0" xfId="0" applyNumberFormat="1" applyFont="1" applyAlignment="1"/>
    <xf numFmtId="0" fontId="5" fillId="5" borderId="0" xfId="0" applyFont="1" applyFill="1" applyAlignment="1">
      <alignment wrapText="1"/>
    </xf>
    <xf numFmtId="0" fontId="1" fillId="5" borderId="0" xfId="0" applyFont="1" applyFill="1" applyAlignment="1">
      <alignment vertical="top" wrapText="1"/>
    </xf>
    <xf numFmtId="3" fontId="13" fillId="0" borderId="0" xfId="0" applyNumberFormat="1" applyFont="1" applyAlignment="1">
      <alignment horizontal="center" wrapText="1"/>
    </xf>
    <xf numFmtId="3" fontId="0" fillId="0" borderId="0" xfId="0" applyNumberFormat="1"/>
    <xf numFmtId="3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Border="1"/>
    <xf numFmtId="3" fontId="1" fillId="6" borderId="0" xfId="0" applyNumberFormat="1" applyFont="1" applyFill="1" applyBorder="1"/>
    <xf numFmtId="0" fontId="1" fillId="0" borderId="0" xfId="0" applyFont="1" applyFill="1" applyAlignment="1">
      <alignment vertical="top" wrapText="1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1" fontId="0" fillId="0" borderId="0" xfId="0" applyNumberFormat="1"/>
    <xf numFmtId="0" fontId="14" fillId="7" borderId="3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0" fillId="8" borderId="0" xfId="0" applyFill="1"/>
    <xf numFmtId="3" fontId="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165" fontId="0" fillId="0" borderId="0" xfId="0" applyNumberForma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" fontId="5" fillId="9" borderId="0" xfId="0" applyNumberFormat="1" applyFont="1" applyFill="1" applyAlignment="1">
      <alignment horizontal="right"/>
    </xf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3" fontId="1" fillId="0" borderId="0" xfId="0" applyNumberFormat="1" applyFont="1" applyFill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0" fillId="0" borderId="0" xfId="0"/>
    <xf numFmtId="0" fontId="15" fillId="0" borderId="0" xfId="0" applyFont="1"/>
    <xf numFmtId="0" fontId="1" fillId="0" borderId="0" xfId="0" applyFont="1"/>
    <xf numFmtId="0" fontId="0" fillId="0" borderId="0" xfId="0"/>
    <xf numFmtId="0" fontId="15" fillId="0" borderId="0" xfId="0" applyFont="1"/>
    <xf numFmtId="3" fontId="1" fillId="0" borderId="0" xfId="0" applyNumberFormat="1" applyFont="1"/>
    <xf numFmtId="0" fontId="17" fillId="0" borderId="0" xfId="0" applyFont="1"/>
    <xf numFmtId="0" fontId="15" fillId="7" borderId="0" xfId="0" applyFont="1" applyFill="1"/>
    <xf numFmtId="0" fontId="0" fillId="7" borderId="0" xfId="0" applyFill="1"/>
    <xf numFmtId="3" fontId="1" fillId="0" borderId="0" xfId="0" applyNumberFormat="1" applyFont="1" applyFill="1" applyAlignment="1">
      <alignment wrapText="1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1" fontId="2" fillId="7" borderId="3" xfId="0" applyNumberFormat="1" applyFont="1" applyFill="1" applyBorder="1" applyAlignment="1">
      <alignment horizontal="center"/>
    </xf>
    <xf numFmtId="0" fontId="0" fillId="7" borderId="3" xfId="0" applyFill="1" applyBorder="1"/>
    <xf numFmtId="166" fontId="0" fillId="0" borderId="0" xfId="0" applyNumberFormat="1"/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18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1" fillId="0" borderId="0" xfId="0" applyFont="1"/>
    <xf numFmtId="0" fontId="0" fillId="0" borderId="0" xfId="0"/>
    <xf numFmtId="3" fontId="1" fillId="0" borderId="0" xfId="0" applyNumberFormat="1" applyFont="1"/>
    <xf numFmtId="0" fontId="15" fillId="0" borderId="0" xfId="0" applyFont="1"/>
    <xf numFmtId="0" fontId="18" fillId="0" borderId="3" xfId="0" applyFont="1" applyBorder="1" applyAlignment="1">
      <alignment horizontal="center" wrapText="1"/>
    </xf>
  </cellXfs>
  <cellStyles count="13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 CORE [K$]</c:v>
          </c:tx>
          <c:cat>
            <c:strRef>
              <c:f>'CORE  2019'!$L$6:$T$6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'CORE  2019'!$L$5:$T$5</c:f>
              <c:numCache>
                <c:formatCode>#,##0</c:formatCode>
                <c:ptCount val="9"/>
                <c:pt idx="0">
                  <c:v>0</c:v>
                </c:pt>
                <c:pt idx="1">
                  <c:v>916.14380000000006</c:v>
                </c:pt>
                <c:pt idx="2">
                  <c:v>5024.8880499999996</c:v>
                </c:pt>
                <c:pt idx="3">
                  <c:v>15021.249169999997</c:v>
                </c:pt>
                <c:pt idx="4">
                  <c:v>14255.603849999998</c:v>
                </c:pt>
                <c:pt idx="5">
                  <c:v>16778.885807999995</c:v>
                </c:pt>
                <c:pt idx="6">
                  <c:v>14241.740828</c:v>
                </c:pt>
                <c:pt idx="7">
                  <c:v>10428.451818000001</c:v>
                </c:pt>
                <c:pt idx="8">
                  <c:v>7932.7482380000001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7-104E-B5C7-C96A42AF9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9696"/>
        <c:axId val="450782016"/>
      </c:lineChart>
      <c:catAx>
        <c:axId val="45077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782016"/>
        <c:crosses val="autoZero"/>
        <c:auto val="1"/>
        <c:lblAlgn val="ctr"/>
        <c:lblOffset val="100"/>
        <c:noMultiLvlLbl val="0"/>
      </c:catAx>
      <c:valAx>
        <c:axId val="45078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077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8993689618598E-2"/>
          <c:y val="3.4574468085106398E-2"/>
          <c:w val="0.94633481904987404"/>
          <c:h val="0.89801432400737102"/>
        </c:manualLayout>
      </c:layout>
      <c:lineChart>
        <c:grouping val="standard"/>
        <c:varyColors val="0"/>
        <c:ser>
          <c:idx val="0"/>
          <c:order val="0"/>
          <c:tx>
            <c:v>labor</c:v>
          </c:tx>
          <c:cat>
            <c:strRef>
              <c:f>'CORE  2019'!$L$6:$T$6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'CORE  2019'!$L$4:$T$4</c:f>
              <c:numCache>
                <c:formatCode>#,##0</c:formatCode>
                <c:ptCount val="9"/>
                <c:pt idx="0">
                  <c:v>0</c:v>
                </c:pt>
                <c:pt idx="1">
                  <c:v>299.33279999999996</c:v>
                </c:pt>
                <c:pt idx="2">
                  <c:v>299.33279999999996</c:v>
                </c:pt>
                <c:pt idx="3">
                  <c:v>4856.3928799999994</c:v>
                </c:pt>
                <c:pt idx="4">
                  <c:v>4716.703919999999</c:v>
                </c:pt>
                <c:pt idx="5">
                  <c:v>7117.5000799999998</c:v>
                </c:pt>
                <c:pt idx="6">
                  <c:v>6977.8111199999994</c:v>
                </c:pt>
                <c:pt idx="7">
                  <c:v>5435.1023999999989</c:v>
                </c:pt>
                <c:pt idx="8">
                  <c:v>5435.1023999999989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8-734E-BA3E-DC8CCBFB73A4}"/>
            </c:ext>
          </c:extLst>
        </c:ser>
        <c:ser>
          <c:idx val="1"/>
          <c:order val="1"/>
          <c:tx>
            <c:v>M&amp;S</c:v>
          </c:tx>
          <c:cat>
            <c:strRef>
              <c:f>'CORE  2019'!$L$6:$T$6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'CORE  2019'!$L$3:$T$3</c:f>
              <c:numCache>
                <c:formatCode>#,##0</c:formatCode>
                <c:ptCount val="9"/>
                <c:pt idx="0">
                  <c:v>0</c:v>
                </c:pt>
                <c:pt idx="1">
                  <c:v>616.81100000000015</c:v>
                </c:pt>
                <c:pt idx="2">
                  <c:v>4725.5552499999994</c:v>
                </c:pt>
                <c:pt idx="3">
                  <c:v>10164.856289999998</c:v>
                </c:pt>
                <c:pt idx="4">
                  <c:v>9538.8999299999996</c:v>
                </c:pt>
                <c:pt idx="5">
                  <c:v>9661.3857279999957</c:v>
                </c:pt>
                <c:pt idx="6">
                  <c:v>7263.9297080000006</c:v>
                </c:pt>
                <c:pt idx="7">
                  <c:v>4993.3494180000025</c:v>
                </c:pt>
                <c:pt idx="8">
                  <c:v>2497.6458380000013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8-734E-BA3E-DC8CCBFB7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7936"/>
        <c:axId val="450810688"/>
      </c:lineChart>
      <c:catAx>
        <c:axId val="4508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810688"/>
        <c:crosses val="autoZero"/>
        <c:auto val="1"/>
        <c:lblAlgn val="ctr"/>
        <c:lblOffset val="100"/>
        <c:noMultiLvlLbl val="0"/>
      </c:catAx>
      <c:valAx>
        <c:axId val="45081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080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76605750179898"/>
          <c:y val="0.35145968958604601"/>
          <c:w val="7.8853201860405703E-2"/>
          <c:h val="0.10265350142402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2901545201602E-2"/>
          <c:y val="3.4574468085106398E-2"/>
          <c:w val="0.93935897815404701"/>
          <c:h val="0.89801432400737102"/>
        </c:manualLayout>
      </c:layout>
      <c:lineChart>
        <c:grouping val="standard"/>
        <c:varyColors val="0"/>
        <c:ser>
          <c:idx val="0"/>
          <c:order val="0"/>
          <c:tx>
            <c:v>labor</c:v>
          </c:tx>
          <c:cat>
            <c:strRef>
              <c:f>'US accounting  2019'!$O$14:$W$14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'US accounting  2019'!$O$10:$W$10</c:f>
              <c:numCache>
                <c:formatCode>#,##0</c:formatCode>
                <c:ptCount val="9"/>
                <c:pt idx="0" formatCode="0">
                  <c:v>0</c:v>
                </c:pt>
                <c:pt idx="1">
                  <c:v>905.66131968000002</c:v>
                </c:pt>
                <c:pt idx="2">
                  <c:v>905.66131968000002</c:v>
                </c:pt>
                <c:pt idx="3">
                  <c:v>14633.124634368</c:v>
                </c:pt>
                <c:pt idx="4">
                  <c:v>14331.237043711999</c:v>
                </c:pt>
                <c:pt idx="5">
                  <c:v>22123.388099840002</c:v>
                </c:pt>
                <c:pt idx="6">
                  <c:v>21700.745182464001</c:v>
                </c:pt>
                <c:pt idx="7">
                  <c:v>16444.445821439997</c:v>
                </c:pt>
                <c:pt idx="8">
                  <c:v>16444.445821439997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8-E841-A16C-F310EC0EE08B}"/>
            </c:ext>
          </c:extLst>
        </c:ser>
        <c:ser>
          <c:idx val="1"/>
          <c:order val="1"/>
          <c:tx>
            <c:v>M&amp;S</c:v>
          </c:tx>
          <c:cat>
            <c:strRef>
              <c:f>'US accounting  2019'!$O$14:$W$14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'US accounting  2019'!$O$9:$W$9</c:f>
              <c:numCache>
                <c:formatCode>#,##0</c:formatCode>
                <c:ptCount val="9"/>
                <c:pt idx="0">
                  <c:v>0</c:v>
                </c:pt>
                <c:pt idx="1">
                  <c:v>930.12631555999985</c:v>
                </c:pt>
                <c:pt idx="2">
                  <c:v>7089.2835140763982</c:v>
                </c:pt>
                <c:pt idx="3">
                  <c:v>15336.770710354795</c:v>
                </c:pt>
                <c:pt idx="4">
                  <c:v>14289.364796301999</c:v>
                </c:pt>
                <c:pt idx="5">
                  <c:v>14428.749698055664</c:v>
                </c:pt>
                <c:pt idx="6">
                  <c:v>9970.5262010576771</c:v>
                </c:pt>
                <c:pt idx="7">
                  <c:v>8189.4030018780832</c:v>
                </c:pt>
                <c:pt idx="8">
                  <c:v>3766.3500178704817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8-E841-A16C-F310EC0EE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43136"/>
        <c:axId val="450845888"/>
      </c:lineChart>
      <c:catAx>
        <c:axId val="4508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845888"/>
        <c:crosses val="autoZero"/>
        <c:auto val="1"/>
        <c:lblAlgn val="ctr"/>
        <c:lblOffset val="100"/>
        <c:noMultiLvlLbl val="0"/>
      </c:catAx>
      <c:valAx>
        <c:axId val="450845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084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2746870471568"/>
          <c:y val="0.49625083766125"/>
          <c:w val="8.8978766430738099E-2"/>
          <c:h val="0.131858000234047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840133953844002E-2"/>
          <c:y val="0.13163371488033301"/>
          <c:w val="0.93315146268481097"/>
          <c:h val="0.81543544699992598"/>
        </c:manualLayout>
      </c:layout>
      <c:lineChart>
        <c:grouping val="standard"/>
        <c:varyColors val="0"/>
        <c:ser>
          <c:idx val="0"/>
          <c:order val="0"/>
          <c:tx>
            <c:v>Total [K$]</c:v>
          </c:tx>
          <c:cat>
            <c:strRef>
              <c:f>'US accounting  2019'!$O$14:$W$14</c:f>
              <c:strCache>
                <c:ptCount val="9"/>
                <c:pt idx="0">
                  <c:v>t0-3</c:v>
                </c:pt>
                <c:pt idx="1">
                  <c:v>t0-2</c:v>
                </c:pt>
                <c:pt idx="2">
                  <c:v>t0-1</c:v>
                </c:pt>
                <c:pt idx="3">
                  <c:v>t0</c:v>
                </c:pt>
                <c:pt idx="4">
                  <c:v>t0+1</c:v>
                </c:pt>
                <c:pt idx="5">
                  <c:v>t0+2</c:v>
                </c:pt>
                <c:pt idx="6">
                  <c:v>t0+3</c:v>
                </c:pt>
                <c:pt idx="7">
                  <c:v>t0+4</c:v>
                </c:pt>
                <c:pt idx="8">
                  <c:v>t0+5</c:v>
                </c:pt>
              </c:strCache>
            </c:strRef>
          </c:cat>
          <c:val>
            <c:numRef>
              <c:f>'US accounting  2019'!$O$11:$W$11</c:f>
              <c:numCache>
                <c:formatCode>#,##0</c:formatCode>
                <c:ptCount val="9"/>
                <c:pt idx="0">
                  <c:v>0</c:v>
                </c:pt>
                <c:pt idx="1">
                  <c:v>1835.7876352399999</c:v>
                </c:pt>
                <c:pt idx="2">
                  <c:v>7994.9448337563981</c:v>
                </c:pt>
                <c:pt idx="3">
                  <c:v>29969.895344722794</c:v>
                </c:pt>
                <c:pt idx="4">
                  <c:v>28620.601840013998</c:v>
                </c:pt>
                <c:pt idx="5">
                  <c:v>36552.137797895666</c:v>
                </c:pt>
                <c:pt idx="6">
                  <c:v>31671.271383521678</c:v>
                </c:pt>
                <c:pt idx="7">
                  <c:v>24633.84882331808</c:v>
                </c:pt>
                <c:pt idx="8">
                  <c:v>20210.795839310478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2-214B-83E2-72CB906E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66384"/>
        <c:axId val="450869136"/>
      </c:lineChart>
      <c:catAx>
        <c:axId val="45086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869136"/>
        <c:crosses val="autoZero"/>
        <c:auto val="1"/>
        <c:lblAlgn val="ctr"/>
        <c:lblOffset val="100"/>
        <c:noMultiLvlLbl val="0"/>
      </c:catAx>
      <c:valAx>
        <c:axId val="450869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086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198</xdr:row>
      <xdr:rowOff>63500</xdr:rowOff>
    </xdr:from>
    <xdr:to>
      <xdr:col>10</xdr:col>
      <xdr:colOff>2692400</xdr:colOff>
      <xdr:row>223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203200</xdr:colOff>
      <xdr:row>224</xdr:row>
      <xdr:rowOff>76200</xdr:rowOff>
    </xdr:from>
    <xdr:to>
      <xdr:col>10</xdr:col>
      <xdr:colOff>2667000</xdr:colOff>
      <xdr:row>249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965200</xdr:colOff>
      <xdr:row>232</xdr:row>
      <xdr:rowOff>40640</xdr:rowOff>
    </xdr:from>
    <xdr:to>
      <xdr:col>6</xdr:col>
      <xdr:colOff>558800</xdr:colOff>
      <xdr:row>256</xdr:row>
      <xdr:rowOff>182880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965200</xdr:colOff>
      <xdr:row>205</xdr:row>
      <xdr:rowOff>127000</xdr:rowOff>
    </xdr:from>
    <xdr:to>
      <xdr:col>6</xdr:col>
      <xdr:colOff>629920</xdr:colOff>
      <xdr:row>230</xdr:row>
      <xdr:rowOff>182880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7"/>
  <sheetViews>
    <sheetView topLeftCell="A109" zoomScalePageLayoutView="125" workbookViewId="0">
      <selection activeCell="E165" sqref="E165:E167"/>
    </sheetView>
  </sheetViews>
  <sheetFormatPr defaultColWidth="11" defaultRowHeight="15.75"/>
  <cols>
    <col min="2" max="2" width="12.5" customWidth="1"/>
    <col min="3" max="3" width="25" customWidth="1"/>
    <col min="4" max="4" width="8.625" customWidth="1"/>
    <col min="5" max="5" width="39.625" customWidth="1"/>
    <col min="6" max="6" width="6" customWidth="1"/>
    <col min="7" max="7" width="5.625" customWidth="1"/>
    <col min="8" max="8" width="12.5" customWidth="1"/>
    <col min="10" max="10" width="13" customWidth="1"/>
    <col min="11" max="11" width="69.375" customWidth="1"/>
    <col min="13" max="13" width="10.5" customWidth="1"/>
    <col min="23" max="23" width="13" customWidth="1"/>
  </cols>
  <sheetData>
    <row r="1" spans="1:24">
      <c r="A1" s="159" t="s">
        <v>524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4">
      <c r="A2" s="16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>
      <c r="A3" s="2"/>
      <c r="B3" s="1"/>
      <c r="C3" s="1"/>
      <c r="D3" s="3"/>
      <c r="E3" s="4" t="s">
        <v>0</v>
      </c>
      <c r="F3" s="5" t="s">
        <v>1</v>
      </c>
      <c r="G3" s="5"/>
      <c r="H3" s="6"/>
      <c r="I3" s="6"/>
      <c r="J3" s="89"/>
      <c r="K3" s="7">
        <f>SUM(L3:T3)</f>
        <v>49462.433162000001</v>
      </c>
      <c r="L3" s="146">
        <f t="shared" ref="L3:T3" si="0">L5-L4</f>
        <v>0</v>
      </c>
      <c r="M3" s="146">
        <f t="shared" si="0"/>
        <v>616.81100000000015</v>
      </c>
      <c r="N3" s="146">
        <f t="shared" si="0"/>
        <v>4725.5552499999994</v>
      </c>
      <c r="O3" s="146">
        <f t="shared" si="0"/>
        <v>10164.856289999998</v>
      </c>
      <c r="P3" s="146">
        <f t="shared" si="0"/>
        <v>9538.8999299999996</v>
      </c>
      <c r="Q3" s="146">
        <f t="shared" si="0"/>
        <v>9661.3857279999957</v>
      </c>
      <c r="R3" s="146">
        <f t="shared" si="0"/>
        <v>7263.9297080000006</v>
      </c>
      <c r="S3" s="146">
        <f t="shared" si="0"/>
        <v>4993.3494180000025</v>
      </c>
      <c r="T3" s="146">
        <f t="shared" si="0"/>
        <v>2497.6458380000013</v>
      </c>
      <c r="U3" s="1"/>
      <c r="V3" s="8"/>
    </row>
    <row r="4" spans="1:24">
      <c r="A4" s="2"/>
      <c r="B4" s="1"/>
      <c r="C4" s="1"/>
      <c r="D4" s="3"/>
      <c r="E4" s="4" t="s">
        <v>0</v>
      </c>
      <c r="F4" s="5" t="s">
        <v>2</v>
      </c>
      <c r="G4" s="5"/>
      <c r="H4" s="6"/>
      <c r="I4" s="6"/>
      <c r="J4" s="9"/>
      <c r="K4" s="7">
        <f>SUM(L4:T4)</f>
        <v>35137.278399999996</v>
      </c>
      <c r="L4" s="24">
        <f t="shared" ref="L4" si="1">L28+L39+L160+L161+SUM(L180:L196)</f>
        <v>0</v>
      </c>
      <c r="M4" s="24">
        <f t="shared" ref="M4:T4" si="2">M28+M39+M160+M161+SUM(M180:M196)</f>
        <v>299.33279999999996</v>
      </c>
      <c r="N4" s="146">
        <f t="shared" si="2"/>
        <v>299.33279999999996</v>
      </c>
      <c r="O4" s="146">
        <f t="shared" si="2"/>
        <v>4856.3928799999994</v>
      </c>
      <c r="P4" s="146">
        <f t="shared" si="2"/>
        <v>4716.703919999999</v>
      </c>
      <c r="Q4" s="146">
        <f t="shared" si="2"/>
        <v>7117.5000799999998</v>
      </c>
      <c r="R4" s="146">
        <f t="shared" si="2"/>
        <v>6977.8111199999994</v>
      </c>
      <c r="S4" s="146">
        <f t="shared" si="2"/>
        <v>5435.1023999999989</v>
      </c>
      <c r="T4" s="146">
        <f t="shared" si="2"/>
        <v>5435.1023999999989</v>
      </c>
      <c r="U4" s="1"/>
      <c r="V4" s="8"/>
    </row>
    <row r="5" spans="1:24">
      <c r="A5" s="2"/>
      <c r="B5" s="1"/>
      <c r="C5" s="1"/>
      <c r="D5" s="3"/>
      <c r="E5" s="4"/>
      <c r="F5" s="5" t="s">
        <v>3</v>
      </c>
      <c r="G5" s="5"/>
      <c r="H5" s="6"/>
      <c r="I5" s="6"/>
      <c r="J5" s="92">
        <f>SUM(J8:J196)</f>
        <v>84599.711561999982</v>
      </c>
      <c r="K5" s="7">
        <f>SUM(L5:T5)</f>
        <v>84599.711561999982</v>
      </c>
      <c r="L5" s="24">
        <f t="shared" ref="L5" si="3">SUM(L8:L196)</f>
        <v>0</v>
      </c>
      <c r="M5" s="146">
        <f t="shared" ref="M5:T5" si="4">SUM(M8:M196)</f>
        <v>916.14380000000006</v>
      </c>
      <c r="N5" s="146">
        <f t="shared" si="4"/>
        <v>5024.8880499999996</v>
      </c>
      <c r="O5" s="146">
        <f t="shared" si="4"/>
        <v>15021.249169999997</v>
      </c>
      <c r="P5" s="146">
        <f t="shared" si="4"/>
        <v>14255.603849999998</v>
      </c>
      <c r="Q5" s="146">
        <f t="shared" si="4"/>
        <v>16778.885807999995</v>
      </c>
      <c r="R5" s="146">
        <f t="shared" si="4"/>
        <v>14241.740828</v>
      </c>
      <c r="S5" s="146">
        <f t="shared" si="4"/>
        <v>10428.451818000001</v>
      </c>
      <c r="T5" s="146">
        <f t="shared" si="4"/>
        <v>7932.7482380000001</v>
      </c>
      <c r="U5" s="1"/>
      <c r="V5" s="8"/>
    </row>
    <row r="6" spans="1:24">
      <c r="A6" s="11" t="s">
        <v>4</v>
      </c>
      <c r="B6" s="12" t="s">
        <v>5</v>
      </c>
      <c r="C6" s="12" t="s">
        <v>6</v>
      </c>
      <c r="D6" s="13" t="s">
        <v>7</v>
      </c>
      <c r="E6" s="11" t="s">
        <v>8</v>
      </c>
      <c r="F6" s="12" t="s">
        <v>267</v>
      </c>
      <c r="G6" s="12" t="s">
        <v>9</v>
      </c>
      <c r="H6" s="12" t="s">
        <v>10</v>
      </c>
      <c r="I6" s="12" t="s">
        <v>11</v>
      </c>
      <c r="J6" s="12" t="s">
        <v>365</v>
      </c>
      <c r="K6" s="11" t="s">
        <v>12</v>
      </c>
      <c r="L6" s="12" t="s">
        <v>13</v>
      </c>
      <c r="M6" s="12" t="s">
        <v>14</v>
      </c>
      <c r="N6" s="12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2" t="s">
        <v>20</v>
      </c>
      <c r="T6" s="14" t="s">
        <v>21</v>
      </c>
      <c r="U6" s="12" t="s">
        <v>22</v>
      </c>
      <c r="V6" s="147" t="s">
        <v>23</v>
      </c>
      <c r="W6" s="148" t="s">
        <v>502</v>
      </c>
    </row>
    <row r="7" spans="1:24">
      <c r="A7" s="15"/>
      <c r="B7" s="16"/>
      <c r="C7" s="17" t="s">
        <v>24</v>
      </c>
      <c r="D7" s="18"/>
      <c r="E7" s="19">
        <f>J28+J39</f>
        <v>598.66559999999993</v>
      </c>
      <c r="F7" s="20"/>
      <c r="G7" s="20"/>
      <c r="H7" s="20"/>
      <c r="I7" s="20"/>
      <c r="J7" s="20" t="s">
        <v>366</v>
      </c>
      <c r="K7" s="21">
        <f>SUM(J8:J39)-E7</f>
        <v>4567.8697999999995</v>
      </c>
      <c r="L7" s="20"/>
      <c r="M7" s="20"/>
      <c r="N7" s="20"/>
      <c r="O7" s="22"/>
      <c r="P7" s="22"/>
      <c r="Q7" s="22"/>
      <c r="R7" s="22"/>
      <c r="S7" s="20"/>
      <c r="T7" s="22"/>
      <c r="U7" s="20"/>
      <c r="V7" s="20"/>
    </row>
    <row r="8" spans="1:24" ht="31.5">
      <c r="A8" s="60" t="s">
        <v>25</v>
      </c>
      <c r="B8" s="1" t="s">
        <v>26</v>
      </c>
      <c r="C8" s="1" t="s">
        <v>27</v>
      </c>
      <c r="D8" s="3">
        <v>1</v>
      </c>
      <c r="E8" s="4" t="s">
        <v>28</v>
      </c>
      <c r="F8" s="5" t="s">
        <v>29</v>
      </c>
      <c r="G8" s="6">
        <v>239</v>
      </c>
      <c r="H8" s="6" t="s">
        <v>30</v>
      </c>
      <c r="I8" s="23">
        <v>110</v>
      </c>
      <c r="J8" s="23">
        <f t="shared" ref="J8:J27" si="5">I8*G8*1.3/1000</f>
        <v>34.177</v>
      </c>
      <c r="K8" s="2" t="s">
        <v>289</v>
      </c>
      <c r="L8" s="24"/>
      <c r="M8" s="24"/>
      <c r="N8" s="24"/>
      <c r="O8" s="8">
        <f>J8</f>
        <v>34.177</v>
      </c>
      <c r="P8" s="8"/>
      <c r="Q8" s="8"/>
      <c r="R8" s="8"/>
      <c r="S8" s="24"/>
      <c r="T8" s="8"/>
      <c r="U8" s="24" t="s">
        <v>236</v>
      </c>
      <c r="V8" s="61">
        <f t="shared" ref="V8:V39" si="6">SUM(L8:T8)-J8</f>
        <v>0</v>
      </c>
      <c r="W8" s="110" t="s">
        <v>500</v>
      </c>
    </row>
    <row r="9" spans="1:24" ht="31.5">
      <c r="A9" s="60" t="s">
        <v>25</v>
      </c>
      <c r="B9" s="1" t="s">
        <v>26</v>
      </c>
      <c r="C9" s="1" t="s">
        <v>27</v>
      </c>
      <c r="D9" s="3">
        <v>1</v>
      </c>
      <c r="E9" s="25" t="s">
        <v>31</v>
      </c>
      <c r="F9" s="5" t="s">
        <v>29</v>
      </c>
      <c r="G9" s="6">
        <v>239</v>
      </c>
      <c r="H9" s="6" t="s">
        <v>32</v>
      </c>
      <c r="I9" s="23">
        <v>560</v>
      </c>
      <c r="J9" s="23">
        <f t="shared" si="5"/>
        <v>173.99199999999999</v>
      </c>
      <c r="K9" s="2" t="s">
        <v>288</v>
      </c>
      <c r="L9" s="24"/>
      <c r="M9" s="24"/>
      <c r="N9" s="24"/>
      <c r="O9" s="8">
        <f>J9</f>
        <v>173.99199999999999</v>
      </c>
      <c r="P9" s="8"/>
      <c r="Q9" s="8"/>
      <c r="R9" s="8"/>
      <c r="S9" s="24"/>
      <c r="T9" s="8"/>
      <c r="U9" s="24" t="s">
        <v>236</v>
      </c>
      <c r="V9" s="61">
        <f t="shared" si="6"/>
        <v>0</v>
      </c>
      <c r="W9" s="110" t="s">
        <v>500</v>
      </c>
    </row>
    <row r="10" spans="1:24" ht="31.5">
      <c r="A10" s="60" t="s">
        <v>25</v>
      </c>
      <c r="B10" s="1" t="s">
        <v>26</v>
      </c>
      <c r="C10" s="1" t="s">
        <v>27</v>
      </c>
      <c r="D10" s="3">
        <v>1</v>
      </c>
      <c r="E10" s="4" t="s">
        <v>33</v>
      </c>
      <c r="F10" s="5" t="s">
        <v>29</v>
      </c>
      <c r="G10" s="6">
        <v>4</v>
      </c>
      <c r="H10" s="6" t="s">
        <v>34</v>
      </c>
      <c r="I10" s="23">
        <v>6500</v>
      </c>
      <c r="J10" s="23">
        <f t="shared" si="5"/>
        <v>33.799999999999997</v>
      </c>
      <c r="K10" s="2" t="s">
        <v>290</v>
      </c>
      <c r="L10" s="24"/>
      <c r="M10" s="24"/>
      <c r="N10" s="24"/>
      <c r="O10" s="8">
        <f>J10</f>
        <v>33.799999999999997</v>
      </c>
      <c r="P10" s="8"/>
      <c r="Q10" s="8"/>
      <c r="R10" s="8"/>
      <c r="S10" s="24"/>
      <c r="T10" s="8"/>
      <c r="U10" s="24" t="s">
        <v>236</v>
      </c>
      <c r="V10" s="61">
        <f t="shared" si="6"/>
        <v>0</v>
      </c>
      <c r="W10" s="110" t="s">
        <v>500</v>
      </c>
    </row>
    <row r="11" spans="1:24" ht="29.1" customHeight="1">
      <c r="A11" s="60" t="s">
        <v>25</v>
      </c>
      <c r="B11" s="1" t="s">
        <v>26</v>
      </c>
      <c r="C11" s="1" t="s">
        <v>27</v>
      </c>
      <c r="D11" s="3">
        <v>1</v>
      </c>
      <c r="E11" s="26" t="s">
        <v>35</v>
      </c>
      <c r="F11" s="5" t="s">
        <v>29</v>
      </c>
      <c r="G11" s="6">
        <v>12</v>
      </c>
      <c r="H11" s="6" t="s">
        <v>36</v>
      </c>
      <c r="I11" s="23">
        <v>7132</v>
      </c>
      <c r="J11" s="23">
        <f t="shared" si="5"/>
        <v>111.25919999999999</v>
      </c>
      <c r="K11" s="33" t="s">
        <v>330</v>
      </c>
      <c r="L11" s="24"/>
      <c r="M11" s="24"/>
      <c r="N11" s="24"/>
      <c r="O11" s="8">
        <f>J11</f>
        <v>111.25919999999999</v>
      </c>
      <c r="P11" s="8"/>
      <c r="Q11" s="8"/>
      <c r="R11" s="8"/>
      <c r="S11" s="24"/>
      <c r="T11" s="8"/>
      <c r="U11" s="24" t="s">
        <v>236</v>
      </c>
      <c r="V11" s="61">
        <f t="shared" si="6"/>
        <v>0</v>
      </c>
      <c r="W11" s="110" t="s">
        <v>500</v>
      </c>
    </row>
    <row r="12" spans="1:24" ht="31.5">
      <c r="A12" s="60" t="s">
        <v>25</v>
      </c>
      <c r="B12" s="1" t="s">
        <v>26</v>
      </c>
      <c r="C12" s="1" t="s">
        <v>27</v>
      </c>
      <c r="D12" s="3">
        <v>1</v>
      </c>
      <c r="E12" s="4" t="s">
        <v>37</v>
      </c>
      <c r="F12" s="5" t="s">
        <v>29</v>
      </c>
      <c r="G12" s="6">
        <v>243</v>
      </c>
      <c r="H12" s="6" t="s">
        <v>38</v>
      </c>
      <c r="I12" s="23">
        <v>30</v>
      </c>
      <c r="J12" s="23">
        <f t="shared" si="5"/>
        <v>9.4770000000000003</v>
      </c>
      <c r="K12" s="2" t="s">
        <v>528</v>
      </c>
      <c r="L12" s="24"/>
      <c r="M12" s="24"/>
      <c r="N12" s="24"/>
      <c r="O12" s="8">
        <f>J12</f>
        <v>9.4770000000000003</v>
      </c>
      <c r="P12" s="8"/>
      <c r="Q12" s="8"/>
      <c r="R12" s="8"/>
      <c r="S12" s="24"/>
      <c r="T12" s="8"/>
      <c r="U12" s="24" t="s">
        <v>236</v>
      </c>
      <c r="V12" s="61">
        <f t="shared" si="6"/>
        <v>0</v>
      </c>
      <c r="W12" s="110" t="s">
        <v>500</v>
      </c>
    </row>
    <row r="13" spans="1:24" ht="31.5">
      <c r="A13" s="60" t="s">
        <v>25</v>
      </c>
      <c r="B13" s="1" t="s">
        <v>26</v>
      </c>
      <c r="C13" s="1" t="s">
        <v>27</v>
      </c>
      <c r="D13" s="3">
        <v>1</v>
      </c>
      <c r="E13" s="4" t="s">
        <v>39</v>
      </c>
      <c r="F13" s="5" t="s">
        <v>29</v>
      </c>
      <c r="G13" s="6">
        <v>860</v>
      </c>
      <c r="H13" s="6" t="s">
        <v>40</v>
      </c>
      <c r="I13" s="23">
        <v>50</v>
      </c>
      <c r="J13" s="23">
        <f t="shared" si="5"/>
        <v>55.9</v>
      </c>
      <c r="K13" s="2" t="s">
        <v>529</v>
      </c>
      <c r="L13" s="24"/>
      <c r="M13" s="24"/>
      <c r="N13" s="24"/>
      <c r="O13" s="8">
        <f t="shared" ref="O13:O27" si="7">J13*0.6</f>
        <v>33.54</v>
      </c>
      <c r="P13" s="8">
        <f t="shared" ref="P13:P27" si="8">J13*0.4</f>
        <v>22.36</v>
      </c>
      <c r="Q13" s="8"/>
      <c r="R13" s="8"/>
      <c r="S13" s="24"/>
      <c r="T13" s="8"/>
      <c r="U13" s="24" t="s">
        <v>236</v>
      </c>
      <c r="V13" s="61">
        <f t="shared" si="6"/>
        <v>0</v>
      </c>
      <c r="W13" s="110" t="s">
        <v>500</v>
      </c>
    </row>
    <row r="14" spans="1:24" ht="31.5">
      <c r="A14" s="60" t="s">
        <v>25</v>
      </c>
      <c r="B14" s="1" t="s">
        <v>26</v>
      </c>
      <c r="C14" s="1" t="s">
        <v>27</v>
      </c>
      <c r="D14" s="3">
        <v>1</v>
      </c>
      <c r="E14" s="4" t="s">
        <v>41</v>
      </c>
      <c r="F14" s="5" t="s">
        <v>29</v>
      </c>
      <c r="G14" s="6">
        <v>243</v>
      </c>
      <c r="H14" s="6" t="s">
        <v>42</v>
      </c>
      <c r="I14" s="23">
        <v>323</v>
      </c>
      <c r="J14" s="23">
        <f t="shared" si="5"/>
        <v>102.03569999999999</v>
      </c>
      <c r="K14" s="2" t="s">
        <v>534</v>
      </c>
      <c r="L14" s="24"/>
      <c r="M14" s="24"/>
      <c r="N14" s="24"/>
      <c r="O14" s="8">
        <f t="shared" si="7"/>
        <v>61.221419999999995</v>
      </c>
      <c r="P14" s="8">
        <f t="shared" si="8"/>
        <v>40.814279999999997</v>
      </c>
      <c r="Q14" s="8"/>
      <c r="R14" s="8"/>
      <c r="S14" s="24"/>
      <c r="T14" s="8"/>
      <c r="U14" s="24" t="s">
        <v>236</v>
      </c>
      <c r="V14" s="61">
        <f t="shared" si="6"/>
        <v>0</v>
      </c>
      <c r="W14" s="110" t="s">
        <v>500</v>
      </c>
    </row>
    <row r="15" spans="1:24" ht="31.5">
      <c r="A15" s="60" t="s">
        <v>25</v>
      </c>
      <c r="B15" s="1" t="s">
        <v>26</v>
      </c>
      <c r="C15" s="1" t="s">
        <v>27</v>
      </c>
      <c r="D15" s="3">
        <v>1</v>
      </c>
      <c r="E15" s="4" t="s">
        <v>43</v>
      </c>
      <c r="F15" s="5" t="s">
        <v>29</v>
      </c>
      <c r="G15" s="6">
        <v>243</v>
      </c>
      <c r="H15" s="6" t="s">
        <v>44</v>
      </c>
      <c r="I15" s="23">
        <v>120</v>
      </c>
      <c r="J15" s="23">
        <f t="shared" si="5"/>
        <v>37.908000000000001</v>
      </c>
      <c r="K15" s="2" t="s">
        <v>291</v>
      </c>
      <c r="L15" s="24"/>
      <c r="M15" s="24"/>
      <c r="N15" s="24"/>
      <c r="O15" s="8">
        <f t="shared" si="7"/>
        <v>22.744800000000001</v>
      </c>
      <c r="P15" s="8">
        <f t="shared" si="8"/>
        <v>15.163200000000002</v>
      </c>
      <c r="Q15" s="8"/>
      <c r="R15" s="8"/>
      <c r="S15" s="24"/>
      <c r="T15" s="8"/>
      <c r="U15" s="24" t="s">
        <v>236</v>
      </c>
      <c r="V15" s="61">
        <f t="shared" si="6"/>
        <v>0</v>
      </c>
      <c r="W15" s="110" t="s">
        <v>500</v>
      </c>
    </row>
    <row r="16" spans="1:24" ht="31.5">
      <c r="A16" s="60" t="s">
        <v>25</v>
      </c>
      <c r="B16" s="1" t="s">
        <v>26</v>
      </c>
      <c r="C16" s="1" t="s">
        <v>27</v>
      </c>
      <c r="D16" s="3">
        <v>1</v>
      </c>
      <c r="E16" s="4" t="s">
        <v>45</v>
      </c>
      <c r="F16" s="5" t="s">
        <v>29</v>
      </c>
      <c r="G16" s="6">
        <v>946</v>
      </c>
      <c r="H16" s="6" t="s">
        <v>293</v>
      </c>
      <c r="I16" s="23">
        <v>4</v>
      </c>
      <c r="J16" s="23">
        <f t="shared" si="5"/>
        <v>4.9192</v>
      </c>
      <c r="K16" s="2" t="s">
        <v>294</v>
      </c>
      <c r="L16" s="24"/>
      <c r="M16" s="24"/>
      <c r="N16" s="24"/>
      <c r="O16" s="8">
        <f t="shared" si="7"/>
        <v>2.9515199999999999</v>
      </c>
      <c r="P16" s="8">
        <f t="shared" si="8"/>
        <v>1.9676800000000001</v>
      </c>
      <c r="Q16" s="8"/>
      <c r="R16" s="8"/>
      <c r="S16" s="24"/>
      <c r="T16" s="8"/>
      <c r="U16" s="24" t="s">
        <v>236</v>
      </c>
      <c r="V16" s="61">
        <f t="shared" si="6"/>
        <v>0</v>
      </c>
      <c r="W16" s="110" t="s">
        <v>500</v>
      </c>
    </row>
    <row r="17" spans="1:23" ht="27.95" customHeight="1">
      <c r="A17" s="60" t="s">
        <v>25</v>
      </c>
      <c r="B17" s="1" t="s">
        <v>26</v>
      </c>
      <c r="C17" s="1" t="s">
        <v>27</v>
      </c>
      <c r="D17" s="3">
        <v>1</v>
      </c>
      <c r="E17" s="4" t="s">
        <v>46</v>
      </c>
      <c r="F17" s="5" t="s">
        <v>29</v>
      </c>
      <c r="G17" s="6">
        <v>1</v>
      </c>
      <c r="H17" s="6" t="s">
        <v>47</v>
      </c>
      <c r="I17" s="23">
        <v>10300</v>
      </c>
      <c r="J17" s="23">
        <f t="shared" si="5"/>
        <v>13.39</v>
      </c>
      <c r="K17" s="33" t="s">
        <v>292</v>
      </c>
      <c r="L17" s="24"/>
      <c r="M17" s="24"/>
      <c r="N17" s="24"/>
      <c r="O17" s="8">
        <f t="shared" si="7"/>
        <v>8.0340000000000007</v>
      </c>
      <c r="P17" s="8">
        <f t="shared" si="8"/>
        <v>5.3560000000000008</v>
      </c>
      <c r="Q17" s="8"/>
      <c r="R17" s="8"/>
      <c r="S17" s="24"/>
      <c r="T17" s="8"/>
      <c r="U17" s="24" t="s">
        <v>236</v>
      </c>
      <c r="V17" s="61">
        <f t="shared" si="6"/>
        <v>0</v>
      </c>
      <c r="W17" s="110" t="s">
        <v>500</v>
      </c>
    </row>
    <row r="18" spans="1:23">
      <c r="A18" s="60" t="s">
        <v>25</v>
      </c>
      <c r="B18" s="1" t="s">
        <v>26</v>
      </c>
      <c r="C18" s="1" t="s">
        <v>27</v>
      </c>
      <c r="D18" s="3">
        <v>1</v>
      </c>
      <c r="E18" s="4" t="s">
        <v>48</v>
      </c>
      <c r="F18" s="5" t="s">
        <v>29</v>
      </c>
      <c r="G18" s="6">
        <v>8</v>
      </c>
      <c r="H18" s="6" t="s">
        <v>49</v>
      </c>
      <c r="I18" s="23">
        <v>9571</v>
      </c>
      <c r="J18" s="23">
        <f t="shared" si="5"/>
        <v>99.53840000000001</v>
      </c>
      <c r="K18" s="2" t="s">
        <v>295</v>
      </c>
      <c r="L18" s="24"/>
      <c r="M18" s="24"/>
      <c r="N18" s="24"/>
      <c r="O18" s="8">
        <f t="shared" si="7"/>
        <v>59.723040000000005</v>
      </c>
      <c r="P18" s="8">
        <f t="shared" si="8"/>
        <v>39.815360000000005</v>
      </c>
      <c r="Q18" s="8"/>
      <c r="R18" s="8"/>
      <c r="S18" s="24"/>
      <c r="T18" s="8"/>
      <c r="U18" s="24" t="s">
        <v>236</v>
      </c>
      <c r="V18" s="61">
        <f t="shared" si="6"/>
        <v>0</v>
      </c>
      <c r="W18" s="110" t="s">
        <v>500</v>
      </c>
    </row>
    <row r="19" spans="1:23" ht="31.5">
      <c r="A19" s="60" t="s">
        <v>25</v>
      </c>
      <c r="B19" s="1" t="s">
        <v>26</v>
      </c>
      <c r="C19" s="1" t="s">
        <v>27</v>
      </c>
      <c r="D19" s="3">
        <v>1</v>
      </c>
      <c r="E19" s="4" t="s">
        <v>50</v>
      </c>
      <c r="F19" s="5" t="s">
        <v>29</v>
      </c>
      <c r="G19" s="6">
        <v>8</v>
      </c>
      <c r="H19" s="6" t="s">
        <v>49</v>
      </c>
      <c r="I19" s="23">
        <v>9815</v>
      </c>
      <c r="J19" s="23">
        <f t="shared" si="5"/>
        <v>102.07599999999999</v>
      </c>
      <c r="K19" s="2" t="s">
        <v>296</v>
      </c>
      <c r="L19" s="24"/>
      <c r="M19" s="24"/>
      <c r="N19" s="24"/>
      <c r="O19" s="8">
        <f t="shared" si="7"/>
        <v>61.245599999999996</v>
      </c>
      <c r="P19" s="8">
        <f t="shared" si="8"/>
        <v>40.830399999999997</v>
      </c>
      <c r="Q19" s="8"/>
      <c r="R19" s="8"/>
      <c r="S19" s="24"/>
      <c r="T19" s="8"/>
      <c r="U19" s="24" t="s">
        <v>236</v>
      </c>
      <c r="V19" s="61">
        <f t="shared" si="6"/>
        <v>0</v>
      </c>
      <c r="W19" s="110" t="s">
        <v>500</v>
      </c>
    </row>
    <row r="20" spans="1:23" s="80" customFormat="1">
      <c r="A20" s="60" t="s">
        <v>25</v>
      </c>
      <c r="B20" s="69" t="s">
        <v>26</v>
      </c>
      <c r="C20" s="69" t="s">
        <v>27</v>
      </c>
      <c r="D20" s="126">
        <v>1</v>
      </c>
      <c r="E20" s="76" t="s">
        <v>380</v>
      </c>
      <c r="F20" s="127" t="s">
        <v>29</v>
      </c>
      <c r="G20" s="77">
        <v>4</v>
      </c>
      <c r="H20" s="77" t="s">
        <v>381</v>
      </c>
      <c r="I20" s="78">
        <v>1350</v>
      </c>
      <c r="J20" s="78">
        <f t="shared" si="5"/>
        <v>7.02</v>
      </c>
      <c r="K20" s="100" t="s">
        <v>486</v>
      </c>
      <c r="L20" s="79"/>
      <c r="M20" s="79"/>
      <c r="N20" s="79"/>
      <c r="O20" s="8">
        <f t="shared" ref="O20:O24" si="9">J20*0.6</f>
        <v>4.2119999999999997</v>
      </c>
      <c r="P20" s="8">
        <f t="shared" ref="P20:P24" si="10">J20*0.4</f>
        <v>2.8079999999999998</v>
      </c>
      <c r="Q20" s="73"/>
      <c r="R20" s="73"/>
      <c r="S20" s="79"/>
      <c r="T20" s="73"/>
      <c r="U20" s="139" t="s">
        <v>236</v>
      </c>
      <c r="V20" s="61">
        <f t="shared" si="6"/>
        <v>0</v>
      </c>
      <c r="W20" s="110" t="s">
        <v>500</v>
      </c>
    </row>
    <row r="21" spans="1:23" s="80" customFormat="1" ht="31.5">
      <c r="A21" s="60" t="s">
        <v>25</v>
      </c>
      <c r="B21" s="69" t="s">
        <v>26</v>
      </c>
      <c r="C21" s="69" t="s">
        <v>27</v>
      </c>
      <c r="D21" s="126">
        <v>1</v>
      </c>
      <c r="E21" s="76" t="s">
        <v>382</v>
      </c>
      <c r="F21" s="127" t="s">
        <v>29</v>
      </c>
      <c r="G21" s="77">
        <v>2</v>
      </c>
      <c r="H21" s="77" t="s">
        <v>381</v>
      </c>
      <c r="I21" s="78">
        <v>9000</v>
      </c>
      <c r="J21" s="78">
        <f t="shared" si="5"/>
        <v>23.4</v>
      </c>
      <c r="K21" s="100" t="s">
        <v>485</v>
      </c>
      <c r="L21" s="79"/>
      <c r="M21" s="79"/>
      <c r="N21" s="79"/>
      <c r="O21" s="8">
        <f t="shared" si="9"/>
        <v>14.04</v>
      </c>
      <c r="P21" s="8">
        <f t="shared" si="10"/>
        <v>9.36</v>
      </c>
      <c r="Q21" s="73"/>
      <c r="R21" s="73"/>
      <c r="S21" s="79"/>
      <c r="T21" s="73"/>
      <c r="U21" s="139" t="s">
        <v>236</v>
      </c>
      <c r="V21" s="61">
        <f t="shared" si="6"/>
        <v>0</v>
      </c>
      <c r="W21" s="110" t="s">
        <v>500</v>
      </c>
    </row>
    <row r="22" spans="1:23" s="121" customFormat="1">
      <c r="A22" s="60" t="s">
        <v>25</v>
      </c>
      <c r="B22" s="69" t="s">
        <v>26</v>
      </c>
      <c r="C22" s="69" t="s">
        <v>27</v>
      </c>
      <c r="D22" s="126">
        <v>1</v>
      </c>
      <c r="E22" s="76" t="s">
        <v>383</v>
      </c>
      <c r="F22" s="127" t="s">
        <v>29</v>
      </c>
      <c r="G22" s="77">
        <v>2</v>
      </c>
      <c r="H22" s="77" t="s">
        <v>384</v>
      </c>
      <c r="I22" s="78">
        <v>35125</v>
      </c>
      <c r="J22" s="23">
        <f t="shared" si="5"/>
        <v>91.325000000000003</v>
      </c>
      <c r="K22" s="100" t="s">
        <v>535</v>
      </c>
      <c r="L22" s="122"/>
      <c r="M22" s="122"/>
      <c r="N22" s="122"/>
      <c r="O22" s="8">
        <f t="shared" si="9"/>
        <v>54.795000000000002</v>
      </c>
      <c r="P22" s="8">
        <f t="shared" si="10"/>
        <v>36.53</v>
      </c>
      <c r="Q22" s="8"/>
      <c r="R22" s="8"/>
      <c r="S22" s="122"/>
      <c r="T22" s="8"/>
      <c r="U22" s="139" t="s">
        <v>236</v>
      </c>
      <c r="V22" s="61">
        <f t="shared" si="6"/>
        <v>0</v>
      </c>
      <c r="W22" s="110" t="s">
        <v>500</v>
      </c>
    </row>
    <row r="23" spans="1:23" s="80" customFormat="1" ht="31.5">
      <c r="A23" s="60" t="s">
        <v>25</v>
      </c>
      <c r="B23" s="69" t="s">
        <v>26</v>
      </c>
      <c r="C23" s="69" t="s">
        <v>27</v>
      </c>
      <c r="D23" s="126">
        <v>1</v>
      </c>
      <c r="E23" s="76" t="s">
        <v>385</v>
      </c>
      <c r="F23" s="127" t="s">
        <v>29</v>
      </c>
      <c r="G23" s="77">
        <v>1</v>
      </c>
      <c r="H23" s="77" t="s">
        <v>170</v>
      </c>
      <c r="I23" s="78">
        <v>15000</v>
      </c>
      <c r="J23" s="78">
        <f t="shared" si="5"/>
        <v>19.5</v>
      </c>
      <c r="K23" s="100" t="s">
        <v>536</v>
      </c>
      <c r="L23" s="79"/>
      <c r="M23" s="79"/>
      <c r="N23" s="79"/>
      <c r="O23" s="8">
        <f t="shared" si="9"/>
        <v>11.7</v>
      </c>
      <c r="P23" s="8">
        <f t="shared" si="10"/>
        <v>7.8000000000000007</v>
      </c>
      <c r="Q23" s="73"/>
      <c r="R23" s="73"/>
      <c r="S23" s="79"/>
      <c r="T23" s="73"/>
      <c r="U23" s="139" t="s">
        <v>236</v>
      </c>
      <c r="V23" s="61">
        <f t="shared" si="6"/>
        <v>0</v>
      </c>
      <c r="W23" s="110" t="s">
        <v>500</v>
      </c>
    </row>
    <row r="24" spans="1:23" s="80" customFormat="1" ht="31.5">
      <c r="A24" s="60" t="s">
        <v>25</v>
      </c>
      <c r="B24" s="69" t="s">
        <v>26</v>
      </c>
      <c r="C24" s="69" t="s">
        <v>27</v>
      </c>
      <c r="D24" s="126">
        <v>1</v>
      </c>
      <c r="E24" s="76" t="s">
        <v>386</v>
      </c>
      <c r="F24" s="127" t="s">
        <v>29</v>
      </c>
      <c r="G24" s="77">
        <v>240</v>
      </c>
      <c r="H24" s="77" t="s">
        <v>40</v>
      </c>
      <c r="I24" s="78">
        <v>25</v>
      </c>
      <c r="J24" s="78">
        <f t="shared" si="5"/>
        <v>7.8</v>
      </c>
      <c r="K24" s="100" t="s">
        <v>387</v>
      </c>
      <c r="L24" s="79"/>
      <c r="M24" s="79"/>
      <c r="N24" s="79"/>
      <c r="O24" s="8">
        <f t="shared" si="9"/>
        <v>4.68</v>
      </c>
      <c r="P24" s="8">
        <f t="shared" si="10"/>
        <v>3.12</v>
      </c>
      <c r="Q24" s="73"/>
      <c r="R24" s="73"/>
      <c r="S24" s="79"/>
      <c r="T24" s="73"/>
      <c r="U24" s="139" t="s">
        <v>236</v>
      </c>
      <c r="V24" s="61">
        <f t="shared" si="6"/>
        <v>0</v>
      </c>
      <c r="W24" s="110" t="s">
        <v>500</v>
      </c>
    </row>
    <row r="25" spans="1:23" ht="47.25">
      <c r="A25" s="60" t="s">
        <v>25</v>
      </c>
      <c r="B25" s="1" t="s">
        <v>26</v>
      </c>
      <c r="C25" s="1" t="s">
        <v>27</v>
      </c>
      <c r="D25" s="3">
        <v>1</v>
      </c>
      <c r="E25" s="4" t="s">
        <v>51</v>
      </c>
      <c r="F25" s="5" t="s">
        <v>29</v>
      </c>
      <c r="G25" s="6">
        <v>860</v>
      </c>
      <c r="H25" s="6" t="s">
        <v>40</v>
      </c>
      <c r="I25" s="23">
        <v>35</v>
      </c>
      <c r="J25" s="23">
        <f t="shared" si="5"/>
        <v>39.130000000000003</v>
      </c>
      <c r="K25" s="2" t="s">
        <v>299</v>
      </c>
      <c r="L25" s="24"/>
      <c r="M25" s="24"/>
      <c r="N25" s="24"/>
      <c r="O25" s="8">
        <f t="shared" si="7"/>
        <v>23.478000000000002</v>
      </c>
      <c r="P25" s="8">
        <f t="shared" si="8"/>
        <v>15.652000000000001</v>
      </c>
      <c r="Q25" s="8"/>
      <c r="R25" s="8"/>
      <c r="S25" s="24"/>
      <c r="T25" s="8"/>
      <c r="U25" s="24" t="s">
        <v>236</v>
      </c>
      <c r="V25" s="61">
        <f t="shared" si="6"/>
        <v>0</v>
      </c>
      <c r="W25" s="110" t="s">
        <v>500</v>
      </c>
    </row>
    <row r="26" spans="1:23" ht="47.25">
      <c r="A26" s="60" t="s">
        <v>25</v>
      </c>
      <c r="B26" s="1" t="s">
        <v>26</v>
      </c>
      <c r="C26" s="1" t="s">
        <v>27</v>
      </c>
      <c r="D26" s="3">
        <v>1</v>
      </c>
      <c r="E26" s="4" t="s">
        <v>52</v>
      </c>
      <c r="F26" s="5" t="s">
        <v>29</v>
      </c>
      <c r="G26" s="6">
        <v>860</v>
      </c>
      <c r="H26" s="6" t="s">
        <v>40</v>
      </c>
      <c r="I26" s="23">
        <v>35</v>
      </c>
      <c r="J26" s="23">
        <f t="shared" si="5"/>
        <v>39.130000000000003</v>
      </c>
      <c r="K26" s="2" t="s">
        <v>299</v>
      </c>
      <c r="L26" s="24"/>
      <c r="M26" s="24"/>
      <c r="N26" s="24"/>
      <c r="O26" s="8">
        <f t="shared" si="7"/>
        <v>23.478000000000002</v>
      </c>
      <c r="P26" s="8">
        <f t="shared" si="8"/>
        <v>15.652000000000001</v>
      </c>
      <c r="Q26" s="8"/>
      <c r="R26" s="8"/>
      <c r="S26" s="24"/>
      <c r="T26" s="8"/>
      <c r="U26" s="24" t="s">
        <v>236</v>
      </c>
      <c r="V26" s="61">
        <f t="shared" si="6"/>
        <v>0</v>
      </c>
      <c r="W26" s="110" t="s">
        <v>500</v>
      </c>
    </row>
    <row r="27" spans="1:23">
      <c r="A27" s="60" t="s">
        <v>25</v>
      </c>
      <c r="B27" s="1" t="s">
        <v>26</v>
      </c>
      <c r="C27" s="1" t="s">
        <v>27</v>
      </c>
      <c r="D27" s="3">
        <v>1</v>
      </c>
      <c r="E27" s="4" t="s">
        <v>53</v>
      </c>
      <c r="F27" s="5" t="s">
        <v>29</v>
      </c>
      <c r="G27" s="6">
        <v>860</v>
      </c>
      <c r="H27" s="6" t="s">
        <v>40</v>
      </c>
      <c r="I27" s="23">
        <v>80</v>
      </c>
      <c r="J27" s="23">
        <f t="shared" si="5"/>
        <v>89.44</v>
      </c>
      <c r="K27" s="2" t="s">
        <v>530</v>
      </c>
      <c r="L27" s="24"/>
      <c r="M27" s="24"/>
      <c r="N27" s="24"/>
      <c r="O27" s="8">
        <f t="shared" si="7"/>
        <v>53.663999999999994</v>
      </c>
      <c r="P27" s="8">
        <f t="shared" si="8"/>
        <v>35.776000000000003</v>
      </c>
      <c r="Q27" s="8"/>
      <c r="R27" s="8"/>
      <c r="S27" s="24"/>
      <c r="T27" s="8"/>
      <c r="U27" s="24" t="s">
        <v>236</v>
      </c>
      <c r="V27" s="61">
        <f t="shared" si="6"/>
        <v>0</v>
      </c>
      <c r="W27" s="110" t="s">
        <v>500</v>
      </c>
    </row>
    <row r="28" spans="1:23" ht="47.25">
      <c r="A28" s="60" t="s">
        <v>25</v>
      </c>
      <c r="B28" s="1" t="s">
        <v>26</v>
      </c>
      <c r="C28" s="1" t="s">
        <v>54</v>
      </c>
      <c r="D28" s="3">
        <v>1</v>
      </c>
      <c r="E28" s="4" t="s">
        <v>297</v>
      </c>
      <c r="F28" s="5" t="s">
        <v>55</v>
      </c>
      <c r="G28" s="6">
        <v>3</v>
      </c>
      <c r="H28" s="6" t="s">
        <v>56</v>
      </c>
      <c r="I28" s="78">
        <f>31.98*60*52</f>
        <v>99777.599999999991</v>
      </c>
      <c r="J28" s="23">
        <f>I28*G28*1/1000</f>
        <v>299.33279999999996</v>
      </c>
      <c r="K28" s="2" t="s">
        <v>516</v>
      </c>
      <c r="L28" s="24"/>
      <c r="M28" s="24"/>
      <c r="N28" s="24"/>
      <c r="O28" s="8">
        <f>J28*0.6</f>
        <v>179.59967999999998</v>
      </c>
      <c r="P28" s="8">
        <f>J28*0.4</f>
        <v>119.73311999999999</v>
      </c>
      <c r="Q28" s="8"/>
      <c r="R28" s="8"/>
      <c r="S28" s="24"/>
      <c r="T28" s="8"/>
      <c r="U28" s="24" t="s">
        <v>300</v>
      </c>
      <c r="V28" s="61">
        <f t="shared" si="6"/>
        <v>0</v>
      </c>
      <c r="W28" s="110" t="s">
        <v>500</v>
      </c>
    </row>
    <row r="29" spans="1:23">
      <c r="A29" s="60" t="s">
        <v>25</v>
      </c>
      <c r="B29" s="1" t="s">
        <v>26</v>
      </c>
      <c r="C29" s="1" t="s">
        <v>27</v>
      </c>
      <c r="D29" s="3">
        <v>1</v>
      </c>
      <c r="E29" s="4" t="s">
        <v>57</v>
      </c>
      <c r="F29" s="5" t="s">
        <v>29</v>
      </c>
      <c r="G29" s="6">
        <v>1320</v>
      </c>
      <c r="H29" s="6" t="s">
        <v>58</v>
      </c>
      <c r="I29" s="23">
        <v>36.5</v>
      </c>
      <c r="J29" s="23">
        <f t="shared" ref="J29:J37" si="11">I29*G29*1.3/1000</f>
        <v>62.634</v>
      </c>
      <c r="K29" s="100" t="s">
        <v>388</v>
      </c>
      <c r="L29" s="24"/>
      <c r="M29" s="24"/>
      <c r="N29" s="24"/>
      <c r="O29" s="8"/>
      <c r="P29" s="8">
        <f>J29</f>
        <v>62.634</v>
      </c>
      <c r="Q29" s="8"/>
      <c r="R29" s="8"/>
      <c r="S29" s="24"/>
      <c r="T29" s="8"/>
      <c r="U29" s="24" t="s">
        <v>236</v>
      </c>
      <c r="V29" s="61">
        <f t="shared" si="6"/>
        <v>0</v>
      </c>
      <c r="W29" s="110" t="s">
        <v>500</v>
      </c>
    </row>
    <row r="30" spans="1:23" ht="31.5">
      <c r="A30" s="60" t="s">
        <v>25</v>
      </c>
      <c r="B30" s="1" t="s">
        <v>26</v>
      </c>
      <c r="C30" s="1" t="s">
        <v>27</v>
      </c>
      <c r="D30" s="3">
        <v>1</v>
      </c>
      <c r="E30" s="4" t="s">
        <v>59</v>
      </c>
      <c r="F30" s="5" t="s">
        <v>29</v>
      </c>
      <c r="G30" s="6">
        <v>680</v>
      </c>
      <c r="H30" s="6" t="s">
        <v>40</v>
      </c>
      <c r="I30" s="23">
        <v>70</v>
      </c>
      <c r="J30" s="23">
        <f t="shared" si="11"/>
        <v>61.88</v>
      </c>
      <c r="K30" s="2" t="s">
        <v>531</v>
      </c>
      <c r="L30" s="24"/>
      <c r="M30" s="24"/>
      <c r="N30" s="24"/>
      <c r="O30" s="8"/>
      <c r="P30" s="8">
        <f>J30</f>
        <v>61.88</v>
      </c>
      <c r="Q30" s="8"/>
      <c r="R30" s="8"/>
      <c r="S30" s="24"/>
      <c r="T30" s="8"/>
      <c r="U30" s="24" t="s">
        <v>236</v>
      </c>
      <c r="V30" s="61">
        <f t="shared" si="6"/>
        <v>0</v>
      </c>
      <c r="W30" s="110" t="s">
        <v>500</v>
      </c>
    </row>
    <row r="31" spans="1:23" ht="31.5">
      <c r="A31" s="60" t="s">
        <v>25</v>
      </c>
      <c r="B31" s="1" t="s">
        <v>26</v>
      </c>
      <c r="C31" s="1" t="s">
        <v>27</v>
      </c>
      <c r="D31" s="3">
        <v>1</v>
      </c>
      <c r="E31" s="4" t="s">
        <v>60</v>
      </c>
      <c r="F31" s="5" t="s">
        <v>29</v>
      </c>
      <c r="G31" s="6">
        <v>78</v>
      </c>
      <c r="H31" s="6" t="s">
        <v>61</v>
      </c>
      <c r="I31" s="23">
        <v>2222</v>
      </c>
      <c r="J31" s="23">
        <f t="shared" si="11"/>
        <v>225.31080000000003</v>
      </c>
      <c r="K31" s="100" t="s">
        <v>389</v>
      </c>
      <c r="L31" s="24"/>
      <c r="M31" s="24"/>
      <c r="N31" s="24"/>
      <c r="O31" s="8"/>
      <c r="P31" s="8">
        <f>J31</f>
        <v>225.31080000000003</v>
      </c>
      <c r="Q31" s="8"/>
      <c r="R31" s="8"/>
      <c r="S31" s="24"/>
      <c r="T31" s="8"/>
      <c r="U31" s="24" t="s">
        <v>236</v>
      </c>
      <c r="V31" s="61">
        <f t="shared" si="6"/>
        <v>0</v>
      </c>
      <c r="W31" s="110" t="s">
        <v>500</v>
      </c>
    </row>
    <row r="32" spans="1:23">
      <c r="A32" s="60" t="s">
        <v>25</v>
      </c>
      <c r="B32" s="1" t="s">
        <v>26</v>
      </c>
      <c r="C32" s="1" t="s">
        <v>27</v>
      </c>
      <c r="D32" s="3">
        <v>1</v>
      </c>
      <c r="E32" s="4" t="s">
        <v>62</v>
      </c>
      <c r="F32" s="5" t="s">
        <v>29</v>
      </c>
      <c r="G32" s="6">
        <v>78</v>
      </c>
      <c r="H32" s="6" t="s">
        <v>63</v>
      </c>
      <c r="I32" s="23">
        <v>304</v>
      </c>
      <c r="J32" s="23">
        <f t="shared" si="11"/>
        <v>30.825600000000001</v>
      </c>
      <c r="K32" s="100" t="s">
        <v>390</v>
      </c>
      <c r="L32" s="24"/>
      <c r="M32" s="24"/>
      <c r="N32" s="24"/>
      <c r="O32" s="8"/>
      <c r="P32" s="8">
        <f>J32*0.6</f>
        <v>18.495360000000002</v>
      </c>
      <c r="Q32" s="8">
        <f>J32*0.4</f>
        <v>12.330240000000002</v>
      </c>
      <c r="R32" s="8"/>
      <c r="S32" s="24"/>
      <c r="T32" s="8"/>
      <c r="U32" s="24" t="s">
        <v>236</v>
      </c>
      <c r="V32" s="61">
        <f t="shared" si="6"/>
        <v>0</v>
      </c>
      <c r="W32" s="110" t="s">
        <v>500</v>
      </c>
    </row>
    <row r="33" spans="1:23" ht="31.5">
      <c r="A33" s="60" t="s">
        <v>64</v>
      </c>
      <c r="B33" s="1" t="s">
        <v>26</v>
      </c>
      <c r="C33" s="1" t="s">
        <v>27</v>
      </c>
      <c r="D33" s="3">
        <v>1</v>
      </c>
      <c r="E33" s="4" t="s">
        <v>65</v>
      </c>
      <c r="F33" s="5" t="s">
        <v>29</v>
      </c>
      <c r="G33" s="6">
        <v>78</v>
      </c>
      <c r="H33" s="6" t="s">
        <v>66</v>
      </c>
      <c r="I33" s="23">
        <v>4200</v>
      </c>
      <c r="J33" s="23">
        <f t="shared" si="11"/>
        <v>425.88</v>
      </c>
      <c r="K33" s="2" t="s">
        <v>345</v>
      </c>
      <c r="L33" s="24"/>
      <c r="M33" s="24"/>
      <c r="N33" s="24"/>
      <c r="O33" s="8"/>
      <c r="P33" s="8">
        <f>J33*0.6</f>
        <v>255.52799999999999</v>
      </c>
      <c r="Q33" s="8">
        <f>J33*0.4</f>
        <v>170.352</v>
      </c>
      <c r="R33" s="8"/>
      <c r="S33" s="24"/>
      <c r="T33" s="8"/>
      <c r="U33" s="24" t="s">
        <v>236</v>
      </c>
      <c r="V33" s="61">
        <f t="shared" si="6"/>
        <v>0</v>
      </c>
      <c r="W33" s="110" t="s">
        <v>500</v>
      </c>
    </row>
    <row r="34" spans="1:23" ht="31.5">
      <c r="A34" s="60" t="s">
        <v>25</v>
      </c>
      <c r="B34" s="1" t="s">
        <v>26</v>
      </c>
      <c r="C34" s="1" t="s">
        <v>27</v>
      </c>
      <c r="D34" s="3">
        <v>1</v>
      </c>
      <c r="E34" s="4" t="s">
        <v>67</v>
      </c>
      <c r="F34" s="5" t="s">
        <v>29</v>
      </c>
      <c r="G34" s="6">
        <v>176</v>
      </c>
      <c r="H34" s="6" t="s">
        <v>68</v>
      </c>
      <c r="I34" s="23">
        <v>1200</v>
      </c>
      <c r="J34" s="23">
        <f t="shared" si="11"/>
        <v>274.56</v>
      </c>
      <c r="K34" s="100" t="s">
        <v>391</v>
      </c>
      <c r="L34" s="24"/>
      <c r="M34" s="24"/>
      <c r="N34" s="24"/>
      <c r="O34" s="8"/>
      <c r="P34" s="8">
        <f>J34*0.6</f>
        <v>164.73599999999999</v>
      </c>
      <c r="Q34" s="8">
        <f>J34*0.4</f>
        <v>109.82400000000001</v>
      </c>
      <c r="R34" s="8"/>
      <c r="S34" s="24"/>
      <c r="T34" s="8"/>
      <c r="U34" s="24" t="s">
        <v>236</v>
      </c>
      <c r="V34" s="61">
        <f t="shared" si="6"/>
        <v>0</v>
      </c>
      <c r="W34" s="110" t="s">
        <v>500</v>
      </c>
    </row>
    <row r="35" spans="1:23" ht="47.25">
      <c r="A35" s="60" t="s">
        <v>25</v>
      </c>
      <c r="B35" s="1" t="s">
        <v>26</v>
      </c>
      <c r="C35" s="1" t="s">
        <v>27</v>
      </c>
      <c r="D35" s="3">
        <v>1</v>
      </c>
      <c r="E35" s="4" t="s">
        <v>69</v>
      </c>
      <c r="F35" s="5" t="s">
        <v>29</v>
      </c>
      <c r="G35" s="6">
        <v>75</v>
      </c>
      <c r="H35" s="6" t="s">
        <v>70</v>
      </c>
      <c r="I35" s="23">
        <v>450</v>
      </c>
      <c r="J35" s="23">
        <f t="shared" si="11"/>
        <v>43.875</v>
      </c>
      <c r="K35" s="2" t="s">
        <v>532</v>
      </c>
      <c r="L35" s="24"/>
      <c r="M35" s="24"/>
      <c r="N35" s="24"/>
      <c r="O35" s="8"/>
      <c r="P35" s="8">
        <f>J35*0.6</f>
        <v>26.324999999999999</v>
      </c>
      <c r="Q35" s="8">
        <f>J35*0.4</f>
        <v>17.55</v>
      </c>
      <c r="R35" s="8"/>
      <c r="S35" s="24"/>
      <c r="T35" s="8"/>
      <c r="U35" s="24" t="s">
        <v>236</v>
      </c>
      <c r="V35" s="61">
        <f t="shared" si="6"/>
        <v>0</v>
      </c>
      <c r="W35" s="110" t="s">
        <v>500</v>
      </c>
    </row>
    <row r="36" spans="1:23">
      <c r="A36" s="60" t="s">
        <v>25</v>
      </c>
      <c r="B36" s="1" t="s">
        <v>26</v>
      </c>
      <c r="C36" s="105" t="s">
        <v>27</v>
      </c>
      <c r="D36" s="3">
        <v>1</v>
      </c>
      <c r="E36" s="4" t="s">
        <v>71</v>
      </c>
      <c r="F36" s="5" t="s">
        <v>29</v>
      </c>
      <c r="G36" s="6">
        <v>4</v>
      </c>
      <c r="H36" s="6" t="s">
        <v>72</v>
      </c>
      <c r="I36" s="23">
        <v>10000</v>
      </c>
      <c r="J36" s="23">
        <f t="shared" si="11"/>
        <v>52</v>
      </c>
      <c r="K36" s="27" t="s">
        <v>533</v>
      </c>
      <c r="L36" s="23"/>
      <c r="M36" s="24"/>
      <c r="N36" s="1"/>
      <c r="O36" s="8"/>
      <c r="P36" s="8"/>
      <c r="Q36" s="8"/>
      <c r="R36" s="8">
        <f>J36</f>
        <v>52</v>
      </c>
      <c r="S36" s="24"/>
      <c r="T36" s="8"/>
      <c r="U36" s="24" t="s">
        <v>236</v>
      </c>
      <c r="V36" s="61">
        <f t="shared" si="6"/>
        <v>0</v>
      </c>
      <c r="W36" s="110" t="s">
        <v>500</v>
      </c>
    </row>
    <row r="37" spans="1:23" s="65" customFormat="1">
      <c r="A37" s="60" t="s">
        <v>25</v>
      </c>
      <c r="B37" s="64" t="s">
        <v>26</v>
      </c>
      <c r="C37" s="64" t="s">
        <v>27</v>
      </c>
      <c r="D37" s="3">
        <v>1</v>
      </c>
      <c r="E37" s="25" t="s">
        <v>287</v>
      </c>
      <c r="F37" s="5" t="s">
        <v>29</v>
      </c>
      <c r="G37" s="6">
        <v>4</v>
      </c>
      <c r="H37" s="6" t="s">
        <v>72</v>
      </c>
      <c r="I37" s="23">
        <v>2260</v>
      </c>
      <c r="J37" s="23">
        <f t="shared" si="11"/>
        <v>11.752000000000001</v>
      </c>
      <c r="K37" s="100" t="s">
        <v>392</v>
      </c>
      <c r="L37" s="24"/>
      <c r="M37" s="24"/>
      <c r="N37" s="24"/>
      <c r="O37" s="28"/>
      <c r="P37" s="8"/>
      <c r="Q37" s="8">
        <f>J37</f>
        <v>11.752000000000001</v>
      </c>
      <c r="R37" s="8"/>
      <c r="S37" s="24"/>
      <c r="T37" s="8"/>
      <c r="U37" s="24" t="s">
        <v>236</v>
      </c>
      <c r="V37" s="61">
        <f t="shared" si="6"/>
        <v>0</v>
      </c>
      <c r="W37" s="110" t="s">
        <v>500</v>
      </c>
    </row>
    <row r="38" spans="1:23">
      <c r="A38" s="60" t="s">
        <v>25</v>
      </c>
      <c r="B38" s="1" t="s">
        <v>26</v>
      </c>
      <c r="C38" s="105" t="s">
        <v>27</v>
      </c>
      <c r="D38" s="3">
        <v>2</v>
      </c>
      <c r="E38" s="4" t="s">
        <v>488</v>
      </c>
      <c r="F38" s="5" t="s">
        <v>29</v>
      </c>
      <c r="G38" s="6"/>
      <c r="H38" s="6"/>
      <c r="I38" s="23"/>
      <c r="J38" s="78">
        <f>SUM(J8:J37)- J28</f>
        <v>2283.9348999999997</v>
      </c>
      <c r="K38" s="2"/>
      <c r="L38" s="24"/>
      <c r="M38" s="24"/>
      <c r="N38" s="24"/>
      <c r="O38" s="28"/>
      <c r="P38" s="8"/>
      <c r="Q38" s="8">
        <f>J38*0.4</f>
        <v>913.57395999999994</v>
      </c>
      <c r="R38" s="8">
        <f>J38*0.4</f>
        <v>913.57395999999994</v>
      </c>
      <c r="S38" s="24">
        <f>J38*0.2</f>
        <v>456.78697999999997</v>
      </c>
      <c r="T38" s="8"/>
      <c r="U38" s="24" t="s">
        <v>236</v>
      </c>
      <c r="V38" s="61">
        <f t="shared" si="6"/>
        <v>0</v>
      </c>
      <c r="W38" s="110" t="s">
        <v>500</v>
      </c>
    </row>
    <row r="39" spans="1:23" ht="47.25">
      <c r="A39" s="60" t="s">
        <v>25</v>
      </c>
      <c r="B39" s="1" t="s">
        <v>26</v>
      </c>
      <c r="C39" s="105" t="s">
        <v>54</v>
      </c>
      <c r="D39" s="3">
        <v>2</v>
      </c>
      <c r="E39" s="4" t="s">
        <v>298</v>
      </c>
      <c r="F39" s="5" t="s">
        <v>55</v>
      </c>
      <c r="G39" s="6">
        <v>3</v>
      </c>
      <c r="H39" s="6" t="s">
        <v>56</v>
      </c>
      <c r="I39" s="78">
        <f>31.98*60*52</f>
        <v>99777.599999999991</v>
      </c>
      <c r="J39" s="23">
        <f>I39*G39*1/1000</f>
        <v>299.33279999999996</v>
      </c>
      <c r="K39" s="2" t="s">
        <v>516</v>
      </c>
      <c r="L39" s="24"/>
      <c r="M39" s="24"/>
      <c r="N39" s="24"/>
      <c r="O39" s="28"/>
      <c r="P39" s="8"/>
      <c r="Q39" s="8">
        <f>J39*0.6</f>
        <v>179.59967999999998</v>
      </c>
      <c r="R39" s="8">
        <f>J39*0.4</f>
        <v>119.73311999999999</v>
      </c>
      <c r="S39" s="24"/>
      <c r="T39" s="8"/>
      <c r="U39" s="24" t="s">
        <v>300</v>
      </c>
      <c r="V39" s="61">
        <f t="shared" si="6"/>
        <v>0</v>
      </c>
      <c r="W39" s="110" t="s">
        <v>500</v>
      </c>
    </row>
    <row r="40" spans="1:23">
      <c r="A40" s="2"/>
      <c r="B40" s="1"/>
      <c r="C40" s="1"/>
      <c r="D40" s="3"/>
      <c r="E40" s="4"/>
      <c r="F40" s="5"/>
      <c r="G40" s="6"/>
      <c r="H40" s="6"/>
      <c r="I40" s="23"/>
      <c r="J40" s="23"/>
      <c r="K40" s="2"/>
      <c r="L40" s="24"/>
      <c r="M40" s="24"/>
      <c r="N40" s="24"/>
      <c r="O40" s="28"/>
      <c r="P40" s="8"/>
      <c r="Q40" s="8"/>
      <c r="R40" s="8"/>
      <c r="S40" s="24"/>
      <c r="T40" s="8"/>
      <c r="U40" s="24"/>
      <c r="V40" s="8" t="s">
        <v>0</v>
      </c>
      <c r="W40" s="110" t="s">
        <v>0</v>
      </c>
    </row>
    <row r="41" spans="1:23">
      <c r="A41" s="15"/>
      <c r="B41" s="16"/>
      <c r="C41" s="17" t="s">
        <v>73</v>
      </c>
      <c r="D41" s="3"/>
      <c r="E41" s="19">
        <f>J43+J45</f>
        <v>389.13264000000004</v>
      </c>
      <c r="F41" s="5"/>
      <c r="G41" s="6"/>
      <c r="H41" s="6"/>
      <c r="I41" s="23"/>
      <c r="J41" s="23"/>
      <c r="K41" s="21">
        <f>J42+J44</f>
        <v>1590.6774</v>
      </c>
      <c r="L41" s="24"/>
      <c r="M41" s="24"/>
      <c r="N41" s="24"/>
      <c r="O41" s="28"/>
      <c r="P41" s="8"/>
      <c r="Q41" s="8"/>
      <c r="R41" s="8"/>
      <c r="S41" s="24"/>
      <c r="T41" s="8"/>
      <c r="U41" s="24"/>
      <c r="V41" s="8" t="s">
        <v>0</v>
      </c>
      <c r="W41" s="110" t="s">
        <v>0</v>
      </c>
    </row>
    <row r="42" spans="1:23" ht="31.5">
      <c r="A42" s="60" t="s">
        <v>74</v>
      </c>
      <c r="B42" s="1" t="s">
        <v>26</v>
      </c>
      <c r="C42" s="1" t="s">
        <v>73</v>
      </c>
      <c r="D42" s="3">
        <v>1</v>
      </c>
      <c r="E42" s="4" t="s">
        <v>75</v>
      </c>
      <c r="F42" s="5" t="s">
        <v>29</v>
      </c>
      <c r="G42" s="6">
        <v>1</v>
      </c>
      <c r="H42" s="6" t="s">
        <v>76</v>
      </c>
      <c r="I42" s="51">
        <v>611799</v>
      </c>
      <c r="J42" s="23">
        <f>I42*G42*1.3/1000</f>
        <v>795.33870000000002</v>
      </c>
      <c r="K42" s="30" t="s">
        <v>286</v>
      </c>
      <c r="L42" s="24"/>
      <c r="M42" s="24"/>
      <c r="N42" s="24"/>
      <c r="O42" s="8"/>
      <c r="P42" s="8">
        <f>J42</f>
        <v>795.33870000000002</v>
      </c>
      <c r="Q42" s="8"/>
      <c r="R42" s="8"/>
      <c r="S42" s="24"/>
      <c r="T42" s="8"/>
      <c r="U42" s="24" t="s">
        <v>236</v>
      </c>
      <c r="V42" s="61">
        <f>SUM(L42:T42)-J42</f>
        <v>0</v>
      </c>
      <c r="W42" s="110" t="s">
        <v>500</v>
      </c>
    </row>
    <row r="43" spans="1:23" ht="47.25">
      <c r="A43" s="60" t="s">
        <v>74</v>
      </c>
      <c r="B43" s="1" t="s">
        <v>26</v>
      </c>
      <c r="C43" s="1" t="s">
        <v>77</v>
      </c>
      <c r="D43" s="3">
        <v>1</v>
      </c>
      <c r="E43" s="4" t="s">
        <v>78</v>
      </c>
      <c r="F43" s="5" t="s">
        <v>55</v>
      </c>
      <c r="G43" s="6">
        <v>1.5</v>
      </c>
      <c r="H43" s="6" t="s">
        <v>79</v>
      </c>
      <c r="I43" s="78">
        <f>31.98*60*52</f>
        <v>99777.599999999991</v>
      </c>
      <c r="J43" s="23">
        <f>I43*G43*1.3/1000</f>
        <v>194.56632000000002</v>
      </c>
      <c r="K43" s="30" t="s">
        <v>515</v>
      </c>
      <c r="L43" s="24"/>
      <c r="M43" s="24"/>
      <c r="N43" s="24"/>
      <c r="O43" s="8"/>
      <c r="P43" s="8"/>
      <c r="Q43" s="8">
        <f>J43</f>
        <v>194.56632000000002</v>
      </c>
      <c r="R43" s="8"/>
      <c r="S43" s="24"/>
      <c r="T43" s="8"/>
      <c r="U43" s="24" t="s">
        <v>300</v>
      </c>
      <c r="V43" s="61">
        <f>SUM(L43:T43)-J43</f>
        <v>0</v>
      </c>
      <c r="W43" s="110" t="s">
        <v>500</v>
      </c>
    </row>
    <row r="44" spans="1:23" ht="31.5">
      <c r="A44" s="60" t="s">
        <v>74</v>
      </c>
      <c r="B44" s="1" t="s">
        <v>26</v>
      </c>
      <c r="C44" s="1" t="s">
        <v>73</v>
      </c>
      <c r="D44" s="3">
        <v>2</v>
      </c>
      <c r="E44" s="4" t="s">
        <v>75</v>
      </c>
      <c r="F44" s="5" t="s">
        <v>29</v>
      </c>
      <c r="G44" s="6">
        <v>1</v>
      </c>
      <c r="H44" s="6" t="s">
        <v>76</v>
      </c>
      <c r="I44" s="51">
        <v>611799</v>
      </c>
      <c r="J44" s="23">
        <f>I44*G44*1.3/1000</f>
        <v>795.33870000000002</v>
      </c>
      <c r="K44" s="30" t="s">
        <v>286</v>
      </c>
      <c r="L44" s="24"/>
      <c r="M44" s="24"/>
      <c r="N44" s="24"/>
      <c r="O44" s="8"/>
      <c r="P44" s="8"/>
      <c r="Q44" s="8">
        <f>J44</f>
        <v>795.33870000000002</v>
      </c>
      <c r="R44" s="8"/>
      <c r="S44" s="24"/>
      <c r="T44" s="8"/>
      <c r="U44" s="24" t="s">
        <v>236</v>
      </c>
      <c r="V44" s="61">
        <f>SUM(L44:T44)-J44</f>
        <v>0</v>
      </c>
      <c r="W44" s="110" t="s">
        <v>500</v>
      </c>
    </row>
    <row r="45" spans="1:23" ht="47.25">
      <c r="A45" s="60" t="s">
        <v>74</v>
      </c>
      <c r="B45" s="1" t="s">
        <v>26</v>
      </c>
      <c r="C45" s="1" t="s">
        <v>77</v>
      </c>
      <c r="D45" s="3">
        <v>2</v>
      </c>
      <c r="E45" s="4" t="s">
        <v>78</v>
      </c>
      <c r="F45" s="5" t="s">
        <v>55</v>
      </c>
      <c r="G45" s="6">
        <v>1.5</v>
      </c>
      <c r="H45" s="6" t="s">
        <v>79</v>
      </c>
      <c r="I45" s="78">
        <f>31.98*60*52</f>
        <v>99777.599999999991</v>
      </c>
      <c r="J45" s="23">
        <f>I45*G45*1.3/1000</f>
        <v>194.56632000000002</v>
      </c>
      <c r="K45" s="30" t="s">
        <v>515</v>
      </c>
      <c r="L45" s="24"/>
      <c r="M45" s="24"/>
      <c r="N45" s="24"/>
      <c r="O45" s="8"/>
      <c r="P45" s="8"/>
      <c r="Q45" s="8"/>
      <c r="R45" s="8">
        <f>J45</f>
        <v>194.56632000000002</v>
      </c>
      <c r="S45" s="24"/>
      <c r="T45" s="8"/>
      <c r="U45" s="24" t="s">
        <v>300</v>
      </c>
      <c r="V45" s="61">
        <f>SUM(L45:T45)-J45</f>
        <v>0</v>
      </c>
      <c r="W45" s="110" t="s">
        <v>500</v>
      </c>
    </row>
    <row r="46" spans="1:23" s="65" customFormat="1">
      <c r="A46" s="2"/>
      <c r="B46" s="64"/>
      <c r="C46" s="64"/>
      <c r="D46" s="3"/>
      <c r="E46" s="4"/>
      <c r="F46" s="5"/>
      <c r="G46" s="6"/>
      <c r="H46" s="6"/>
      <c r="I46" s="23"/>
      <c r="J46" s="23"/>
      <c r="K46" s="2"/>
      <c r="L46" s="24"/>
      <c r="M46" s="24"/>
      <c r="N46" s="24"/>
      <c r="O46" s="28"/>
      <c r="P46" s="8"/>
      <c r="Q46" s="8"/>
      <c r="R46" s="8"/>
      <c r="S46" s="24"/>
      <c r="T46" s="8"/>
      <c r="U46" s="24"/>
      <c r="V46" s="8" t="s">
        <v>0</v>
      </c>
      <c r="W46" s="110" t="s">
        <v>0</v>
      </c>
    </row>
    <row r="47" spans="1:23">
      <c r="A47" s="15"/>
      <c r="B47" s="16"/>
      <c r="C47" s="16" t="s">
        <v>80</v>
      </c>
      <c r="D47" s="3"/>
      <c r="E47" s="4"/>
      <c r="F47" s="5"/>
      <c r="G47" s="6"/>
      <c r="H47" s="6"/>
      <c r="I47" s="23"/>
      <c r="J47" s="23"/>
      <c r="K47" s="21">
        <f>SUM(J48:J53)</f>
        <v>5042.7753999999995</v>
      </c>
      <c r="L47" s="24"/>
      <c r="M47" s="24"/>
      <c r="N47" s="24"/>
      <c r="O47" s="8"/>
      <c r="P47" s="8"/>
      <c r="Q47" s="8"/>
      <c r="R47" s="8"/>
      <c r="S47" s="24"/>
      <c r="T47" s="8"/>
      <c r="U47" s="24"/>
      <c r="V47" s="8" t="s">
        <v>0</v>
      </c>
      <c r="W47" s="110" t="s">
        <v>0</v>
      </c>
    </row>
    <row r="48" spans="1:23" ht="31.5">
      <c r="A48" s="60" t="s">
        <v>81</v>
      </c>
      <c r="B48" s="1" t="s">
        <v>26</v>
      </c>
      <c r="C48" s="1" t="s">
        <v>80</v>
      </c>
      <c r="D48" s="3">
        <v>1</v>
      </c>
      <c r="E48" s="4" t="s">
        <v>82</v>
      </c>
      <c r="F48" s="5" t="s">
        <v>29</v>
      </c>
      <c r="G48" s="50">
        <v>336</v>
      </c>
      <c r="H48" s="50" t="s">
        <v>40</v>
      </c>
      <c r="I48" s="51">
        <v>349</v>
      </c>
      <c r="J48" s="51">
        <f>I48*G48*1.3/1000</f>
        <v>152.44320000000002</v>
      </c>
      <c r="K48" s="30" t="s">
        <v>461</v>
      </c>
      <c r="L48" s="24"/>
      <c r="M48" s="24"/>
      <c r="N48" s="24">
        <f>J48*0.3</f>
        <v>45.732960000000006</v>
      </c>
      <c r="O48" s="8">
        <f t="shared" ref="O48:O53" si="12">J48*0.3</f>
        <v>45.732960000000006</v>
      </c>
      <c r="P48" s="8">
        <f>J48*0.4</f>
        <v>60.977280000000007</v>
      </c>
      <c r="Q48" s="8"/>
      <c r="R48" s="8"/>
      <c r="S48" s="24"/>
      <c r="T48" s="8"/>
      <c r="U48" s="24" t="s">
        <v>236</v>
      </c>
      <c r="V48" s="61">
        <f t="shared" ref="V48:V53" si="13">SUM(L48:T48)-J48</f>
        <v>0</v>
      </c>
      <c r="W48" s="110" t="s">
        <v>500</v>
      </c>
    </row>
    <row r="49" spans="1:23" ht="31.5">
      <c r="A49" s="60" t="s">
        <v>81</v>
      </c>
      <c r="B49" s="1" t="s">
        <v>26</v>
      </c>
      <c r="C49" s="1" t="s">
        <v>80</v>
      </c>
      <c r="D49" s="3">
        <v>1</v>
      </c>
      <c r="E49" s="4" t="s">
        <v>83</v>
      </c>
      <c r="F49" s="5" t="s">
        <v>29</v>
      </c>
      <c r="G49" s="50">
        <v>105</v>
      </c>
      <c r="H49" s="50" t="s">
        <v>38</v>
      </c>
      <c r="I49" s="51">
        <v>9548</v>
      </c>
      <c r="J49" s="51">
        <f>I49*G49*1.3/1000</f>
        <v>1303.3019999999999</v>
      </c>
      <c r="K49" s="36" t="s">
        <v>462</v>
      </c>
      <c r="L49" s="24"/>
      <c r="M49" s="24"/>
      <c r="N49" s="24">
        <f>J49*0.3</f>
        <v>390.99059999999997</v>
      </c>
      <c r="O49" s="8">
        <f t="shared" si="12"/>
        <v>390.99059999999997</v>
      </c>
      <c r="P49" s="8">
        <f>J49*0.2</f>
        <v>260.66039999999998</v>
      </c>
      <c r="Q49" s="8">
        <f>J49*0.2</f>
        <v>260.66039999999998</v>
      </c>
      <c r="R49" s="8"/>
      <c r="S49" s="24"/>
      <c r="T49" s="8"/>
      <c r="U49" s="24" t="s">
        <v>236</v>
      </c>
      <c r="V49" s="61">
        <f t="shared" si="13"/>
        <v>0</v>
      </c>
      <c r="W49" s="110" t="s">
        <v>500</v>
      </c>
    </row>
    <row r="50" spans="1:23" ht="47.25">
      <c r="A50" s="60" t="s">
        <v>81</v>
      </c>
      <c r="B50" s="1" t="s">
        <v>26</v>
      </c>
      <c r="C50" s="1" t="s">
        <v>80</v>
      </c>
      <c r="D50" s="3">
        <v>1</v>
      </c>
      <c r="E50" s="25" t="s">
        <v>239</v>
      </c>
      <c r="F50" s="5" t="s">
        <v>29</v>
      </c>
      <c r="G50" s="50">
        <v>450</v>
      </c>
      <c r="H50" s="50" t="s">
        <v>84</v>
      </c>
      <c r="I50" s="51">
        <v>750</v>
      </c>
      <c r="J50" s="51">
        <f>I50*G50*1.3/1000</f>
        <v>438.75</v>
      </c>
      <c r="K50" s="124" t="s">
        <v>463</v>
      </c>
      <c r="L50" s="24"/>
      <c r="M50" s="24"/>
      <c r="N50" s="24">
        <f>J50*0.3</f>
        <v>131.625</v>
      </c>
      <c r="O50" s="8">
        <f t="shared" si="12"/>
        <v>131.625</v>
      </c>
      <c r="P50" s="8">
        <f>J50*0.4</f>
        <v>175.5</v>
      </c>
      <c r="Q50" s="8"/>
      <c r="R50" s="8"/>
      <c r="S50" s="24"/>
      <c r="T50" s="8"/>
      <c r="U50" s="24" t="s">
        <v>236</v>
      </c>
      <c r="V50" s="61">
        <f t="shared" si="13"/>
        <v>0</v>
      </c>
      <c r="W50" s="110" t="s">
        <v>500</v>
      </c>
    </row>
    <row r="51" spans="1:23" ht="63">
      <c r="A51" s="60" t="s">
        <v>81</v>
      </c>
      <c r="B51" s="1" t="s">
        <v>26</v>
      </c>
      <c r="C51" s="1" t="s">
        <v>80</v>
      </c>
      <c r="D51" s="3">
        <v>1</v>
      </c>
      <c r="E51" s="4" t="s">
        <v>85</v>
      </c>
      <c r="F51" s="5" t="s">
        <v>29</v>
      </c>
      <c r="G51" s="50">
        <v>1</v>
      </c>
      <c r="H51" s="50" t="s">
        <v>86</v>
      </c>
      <c r="I51" s="51">
        <v>315699</v>
      </c>
      <c r="J51" s="51">
        <f>I51*G51*1.3/1000</f>
        <v>410.40870000000001</v>
      </c>
      <c r="K51" s="124" t="s">
        <v>464</v>
      </c>
      <c r="L51" s="24"/>
      <c r="M51" s="24"/>
      <c r="N51" s="24">
        <f>J51*0.3</f>
        <v>123.12260999999999</v>
      </c>
      <c r="O51" s="8">
        <f t="shared" si="12"/>
        <v>123.12260999999999</v>
      </c>
      <c r="P51" s="8">
        <f>J51*0.4</f>
        <v>164.16348000000002</v>
      </c>
      <c r="Q51" s="8"/>
      <c r="R51" s="8"/>
      <c r="S51" s="24"/>
      <c r="T51" s="8"/>
      <c r="U51" s="24" t="s">
        <v>236</v>
      </c>
      <c r="V51" s="61">
        <f t="shared" si="13"/>
        <v>0</v>
      </c>
      <c r="W51" s="110" t="s">
        <v>500</v>
      </c>
    </row>
    <row r="52" spans="1:23" ht="47.25">
      <c r="A52" s="60" t="s">
        <v>81</v>
      </c>
      <c r="B52" s="1" t="s">
        <v>26</v>
      </c>
      <c r="C52" s="1" t="s">
        <v>80</v>
      </c>
      <c r="D52" s="3">
        <v>1</v>
      </c>
      <c r="E52" s="25" t="s">
        <v>240</v>
      </c>
      <c r="F52" s="5" t="s">
        <v>29</v>
      </c>
      <c r="G52" s="50">
        <v>1</v>
      </c>
      <c r="H52" s="50" t="s">
        <v>86</v>
      </c>
      <c r="I52" s="51">
        <v>166526</v>
      </c>
      <c r="J52" s="51">
        <f>I52*G52*1.3/1000</f>
        <v>216.48380000000003</v>
      </c>
      <c r="K52" s="124" t="s">
        <v>465</v>
      </c>
      <c r="L52" s="24"/>
      <c r="M52" s="24"/>
      <c r="N52" s="24">
        <f>J52*0.3</f>
        <v>64.945140000000009</v>
      </c>
      <c r="O52" s="8">
        <f t="shared" si="12"/>
        <v>64.945140000000009</v>
      </c>
      <c r="P52" s="8">
        <f>J52*0.4</f>
        <v>86.593520000000012</v>
      </c>
      <c r="Q52" s="8"/>
      <c r="R52" s="8"/>
      <c r="S52" s="24"/>
      <c r="T52" s="8"/>
      <c r="U52" s="24" t="s">
        <v>236</v>
      </c>
      <c r="V52" s="61">
        <f t="shared" si="13"/>
        <v>0</v>
      </c>
      <c r="W52" s="110" t="s">
        <v>500</v>
      </c>
    </row>
    <row r="53" spans="1:23">
      <c r="A53" s="60" t="s">
        <v>81</v>
      </c>
      <c r="B53" s="1" t="s">
        <v>26</v>
      </c>
      <c r="C53" s="1" t="s">
        <v>80</v>
      </c>
      <c r="D53" s="3">
        <v>2</v>
      </c>
      <c r="E53" s="4" t="s">
        <v>87</v>
      </c>
      <c r="F53" s="5" t="s">
        <v>29</v>
      </c>
      <c r="G53" s="6">
        <v>1</v>
      </c>
      <c r="H53" s="6" t="s">
        <v>88</v>
      </c>
      <c r="I53" s="23" t="s">
        <v>0</v>
      </c>
      <c r="J53" s="23">
        <f>SUM(J48:J52)</f>
        <v>2521.3876999999998</v>
      </c>
      <c r="K53" s="2"/>
      <c r="L53" s="24"/>
      <c r="M53" s="24"/>
      <c r="N53" s="24"/>
      <c r="O53" s="8">
        <f t="shared" si="12"/>
        <v>756.41630999999995</v>
      </c>
      <c r="P53" s="8">
        <f>J53*0.3</f>
        <v>756.41630999999995</v>
      </c>
      <c r="Q53" s="8">
        <f>J53*0.2</f>
        <v>504.27753999999999</v>
      </c>
      <c r="R53" s="8">
        <f>J53*0.2</f>
        <v>504.27753999999999</v>
      </c>
      <c r="S53" s="24"/>
      <c r="T53" s="8"/>
      <c r="U53" s="24" t="s">
        <v>236</v>
      </c>
      <c r="V53" s="61">
        <f t="shared" si="13"/>
        <v>0</v>
      </c>
      <c r="W53" s="110" t="s">
        <v>500</v>
      </c>
    </row>
    <row r="54" spans="1:23">
      <c r="A54" s="2"/>
      <c r="B54" s="1"/>
      <c r="C54" s="1"/>
      <c r="D54" s="3"/>
      <c r="E54" s="4"/>
      <c r="F54" s="5"/>
      <c r="G54" s="6"/>
      <c r="H54" s="6"/>
      <c r="I54" s="23"/>
      <c r="J54" s="23"/>
      <c r="K54" s="2"/>
      <c r="L54" s="24"/>
      <c r="M54" s="24"/>
      <c r="N54" s="24"/>
      <c r="O54" s="8"/>
      <c r="P54" s="8"/>
      <c r="Q54" s="8"/>
      <c r="R54" s="8"/>
      <c r="S54" s="24"/>
      <c r="T54" s="8"/>
      <c r="U54" s="24"/>
      <c r="V54" s="8" t="s">
        <v>0</v>
      </c>
      <c r="W54" s="110" t="s">
        <v>0</v>
      </c>
    </row>
    <row r="55" spans="1:23">
      <c r="A55" s="15"/>
      <c r="B55" s="16"/>
      <c r="C55" s="16" t="s">
        <v>89</v>
      </c>
      <c r="D55" s="3"/>
      <c r="E55" s="57">
        <f>SUM(J56:J61)</f>
        <v>2118.7399999999998</v>
      </c>
      <c r="F55" s="5"/>
      <c r="G55" s="6"/>
      <c r="H55" s="6"/>
      <c r="I55" s="23"/>
      <c r="J55" s="23"/>
      <c r="K55" s="31"/>
      <c r="L55" s="24"/>
      <c r="M55" s="24"/>
      <c r="N55" s="24"/>
      <c r="O55" s="8"/>
      <c r="P55" s="8"/>
      <c r="Q55" s="8"/>
      <c r="R55" s="8"/>
      <c r="S55" s="24"/>
      <c r="T55" s="8"/>
      <c r="U55" s="24"/>
      <c r="V55" s="8" t="s">
        <v>0</v>
      </c>
      <c r="W55" s="110" t="s">
        <v>0</v>
      </c>
    </row>
    <row r="56" spans="1:23" ht="30" customHeight="1">
      <c r="A56" s="60" t="s">
        <v>90</v>
      </c>
      <c r="B56" s="58" t="s">
        <v>91</v>
      </c>
      <c r="C56" s="58" t="s">
        <v>89</v>
      </c>
      <c r="D56" s="3">
        <v>1</v>
      </c>
      <c r="E56" s="4" t="s">
        <v>92</v>
      </c>
      <c r="F56" s="5" t="s">
        <v>29</v>
      </c>
      <c r="G56" s="6">
        <v>1</v>
      </c>
      <c r="H56" s="6" t="s">
        <v>92</v>
      </c>
      <c r="I56" s="23">
        <v>285000</v>
      </c>
      <c r="J56" s="23">
        <f>G56*I56*1.3/1000</f>
        <v>370.5</v>
      </c>
      <c r="K56" s="2" t="s">
        <v>337</v>
      </c>
      <c r="L56" s="24"/>
      <c r="M56" s="24">
        <f>J56*0.3</f>
        <v>111.14999999999999</v>
      </c>
      <c r="N56" s="24">
        <f t="shared" ref="N56:N61" si="14">J56*0.3</f>
        <v>111.14999999999999</v>
      </c>
      <c r="O56" s="8">
        <f>J56*0.4</f>
        <v>148.20000000000002</v>
      </c>
      <c r="P56" s="32"/>
      <c r="Q56" s="32"/>
      <c r="R56" s="32"/>
      <c r="S56" s="24"/>
      <c r="T56" s="8"/>
      <c r="U56" s="63" t="s">
        <v>231</v>
      </c>
      <c r="V56" s="61">
        <f t="shared" ref="V56:V61" si="15">SUM(L56:T56)-J56</f>
        <v>0</v>
      </c>
      <c r="W56" s="110" t="s">
        <v>500</v>
      </c>
    </row>
    <row r="57" spans="1:23" ht="30" customHeight="1">
      <c r="A57" s="60" t="s">
        <v>90</v>
      </c>
      <c r="B57" s="58" t="s">
        <v>91</v>
      </c>
      <c r="C57" s="58" t="s">
        <v>245</v>
      </c>
      <c r="D57" s="3">
        <v>1</v>
      </c>
      <c r="E57" s="4" t="s">
        <v>93</v>
      </c>
      <c r="F57" s="5" t="s">
        <v>29</v>
      </c>
      <c r="G57" s="6">
        <v>6</v>
      </c>
      <c r="H57" s="6" t="s">
        <v>94</v>
      </c>
      <c r="I57" s="23">
        <v>50000</v>
      </c>
      <c r="J57" s="23">
        <f>G57*I57*1.3/1000</f>
        <v>390</v>
      </c>
      <c r="K57" s="2" t="s">
        <v>337</v>
      </c>
      <c r="L57" s="24"/>
      <c r="M57" s="24">
        <f>J57*0.3</f>
        <v>117</v>
      </c>
      <c r="N57" s="24">
        <f t="shared" si="14"/>
        <v>117</v>
      </c>
      <c r="O57" s="8">
        <f>J57*0.4</f>
        <v>156</v>
      </c>
      <c r="P57" s="8"/>
      <c r="Q57" s="8"/>
      <c r="R57" s="8"/>
      <c r="S57" s="24"/>
      <c r="T57" s="8"/>
      <c r="U57" s="63" t="s">
        <v>231</v>
      </c>
      <c r="V57" s="61">
        <f t="shared" si="15"/>
        <v>0</v>
      </c>
      <c r="W57" s="110" t="s">
        <v>500</v>
      </c>
    </row>
    <row r="58" spans="1:23">
      <c r="A58" s="60" t="s">
        <v>90</v>
      </c>
      <c r="B58" s="58" t="s">
        <v>91</v>
      </c>
      <c r="C58" s="58" t="s">
        <v>89</v>
      </c>
      <c r="D58" s="3">
        <v>1</v>
      </c>
      <c r="E58" s="4" t="s">
        <v>241</v>
      </c>
      <c r="F58" s="5" t="s">
        <v>29</v>
      </c>
      <c r="G58" s="6">
        <v>3</v>
      </c>
      <c r="H58" s="6" t="s">
        <v>242</v>
      </c>
      <c r="I58" s="23">
        <v>15300</v>
      </c>
      <c r="J58" s="23">
        <f>G58*I58*1.3/1000</f>
        <v>59.67</v>
      </c>
      <c r="K58" s="2" t="s">
        <v>337</v>
      </c>
      <c r="L58" s="24"/>
      <c r="M58" s="24">
        <f>J58*0.3</f>
        <v>17.901</v>
      </c>
      <c r="N58" s="24">
        <f t="shared" si="14"/>
        <v>17.901</v>
      </c>
      <c r="O58" s="8">
        <f>J58*0.4</f>
        <v>23.868000000000002</v>
      </c>
      <c r="P58" s="8"/>
      <c r="Q58" s="8"/>
      <c r="R58" s="8"/>
      <c r="S58" s="24"/>
      <c r="T58" s="8"/>
      <c r="U58" s="63" t="s">
        <v>231</v>
      </c>
      <c r="V58" s="61">
        <f t="shared" si="15"/>
        <v>0</v>
      </c>
      <c r="W58" s="110" t="s">
        <v>500</v>
      </c>
    </row>
    <row r="59" spans="1:23" ht="31.5">
      <c r="A59" s="60" t="s">
        <v>90</v>
      </c>
      <c r="B59" s="58" t="s">
        <v>91</v>
      </c>
      <c r="C59" s="58" t="s">
        <v>89</v>
      </c>
      <c r="D59" s="3">
        <v>1</v>
      </c>
      <c r="E59" s="4" t="s">
        <v>243</v>
      </c>
      <c r="F59" s="5" t="s">
        <v>29</v>
      </c>
      <c r="G59" s="6">
        <v>1</v>
      </c>
      <c r="H59" s="6" t="s">
        <v>244</v>
      </c>
      <c r="I59" s="23">
        <v>144000</v>
      </c>
      <c r="J59" s="23">
        <f>G59*I59*1.3/1000</f>
        <v>187.2</v>
      </c>
      <c r="K59" s="2" t="s">
        <v>525</v>
      </c>
      <c r="L59" s="24"/>
      <c r="M59" s="24">
        <f>J59*0.3</f>
        <v>56.16</v>
      </c>
      <c r="N59" s="24">
        <f t="shared" si="14"/>
        <v>56.16</v>
      </c>
      <c r="O59" s="8">
        <f>J59*0.4</f>
        <v>74.88</v>
      </c>
      <c r="P59" s="8"/>
      <c r="Q59" s="8"/>
      <c r="R59" s="8"/>
      <c r="S59" s="24"/>
      <c r="T59" s="8"/>
      <c r="U59" s="63" t="s">
        <v>231</v>
      </c>
      <c r="V59" s="61">
        <f t="shared" si="15"/>
        <v>0</v>
      </c>
      <c r="W59" s="110" t="s">
        <v>500</v>
      </c>
    </row>
    <row r="60" spans="1:23" s="59" customFormat="1">
      <c r="A60" s="60" t="s">
        <v>90</v>
      </c>
      <c r="B60" s="58" t="s">
        <v>91</v>
      </c>
      <c r="C60" s="58" t="s">
        <v>89</v>
      </c>
      <c r="D60" s="3">
        <v>1</v>
      </c>
      <c r="E60" s="4" t="s">
        <v>95</v>
      </c>
      <c r="F60" s="5" t="s">
        <v>29</v>
      </c>
      <c r="G60" s="6">
        <v>50</v>
      </c>
      <c r="H60" s="6" t="s">
        <v>96</v>
      </c>
      <c r="I60" s="23">
        <v>800</v>
      </c>
      <c r="J60" s="23">
        <f>G60*I60*1.3/1000</f>
        <v>52</v>
      </c>
      <c r="K60" s="2"/>
      <c r="L60" s="24"/>
      <c r="M60" s="24">
        <f>J60*0.3</f>
        <v>15.6</v>
      </c>
      <c r="N60" s="24">
        <f t="shared" si="14"/>
        <v>15.6</v>
      </c>
      <c r="O60" s="8">
        <f>J60*0.4</f>
        <v>20.8</v>
      </c>
      <c r="P60" s="8"/>
      <c r="Q60" s="8"/>
      <c r="R60" s="8"/>
      <c r="S60" s="24"/>
      <c r="T60" s="8"/>
      <c r="U60" s="63" t="s">
        <v>231</v>
      </c>
      <c r="V60" s="61">
        <f t="shared" si="15"/>
        <v>0</v>
      </c>
      <c r="W60" s="110" t="s">
        <v>500</v>
      </c>
    </row>
    <row r="61" spans="1:23" s="59" customFormat="1">
      <c r="A61" s="60" t="s">
        <v>90</v>
      </c>
      <c r="B61" s="58" t="s">
        <v>91</v>
      </c>
      <c r="C61" s="58" t="s">
        <v>89</v>
      </c>
      <c r="D61" s="3">
        <v>2</v>
      </c>
      <c r="E61" s="4" t="s">
        <v>97</v>
      </c>
      <c r="F61" s="5" t="s">
        <v>29</v>
      </c>
      <c r="G61" s="6">
        <v>1</v>
      </c>
      <c r="H61" s="6" t="s">
        <v>88</v>
      </c>
      <c r="I61" s="23">
        <f>J61/1.3</f>
        <v>814.89999999999986</v>
      </c>
      <c r="J61" s="23">
        <f>SUM(J56:J60)</f>
        <v>1059.3699999999999</v>
      </c>
      <c r="K61" s="2"/>
      <c r="L61" s="24"/>
      <c r="M61" s="24"/>
      <c r="N61" s="24">
        <f t="shared" si="14"/>
        <v>317.81099999999998</v>
      </c>
      <c r="O61" s="24">
        <f>J61*0.3</f>
        <v>317.81099999999998</v>
      </c>
      <c r="P61" s="8">
        <f>J61*0.4</f>
        <v>423.74799999999999</v>
      </c>
      <c r="Q61" s="8"/>
      <c r="R61" s="8"/>
      <c r="S61" s="24"/>
      <c r="T61" s="8"/>
      <c r="U61" s="63" t="s">
        <v>231</v>
      </c>
      <c r="V61" s="61">
        <f t="shared" si="15"/>
        <v>0</v>
      </c>
      <c r="W61" s="110" t="s">
        <v>500</v>
      </c>
    </row>
    <row r="62" spans="1:23">
      <c r="A62" s="2"/>
      <c r="B62" s="1"/>
      <c r="C62" s="1"/>
      <c r="D62" s="3"/>
      <c r="E62" s="4"/>
      <c r="F62" s="5"/>
      <c r="G62" s="6"/>
      <c r="H62" s="6"/>
      <c r="I62" s="23"/>
      <c r="J62" s="23"/>
      <c r="K62" s="2"/>
      <c r="L62" s="24"/>
      <c r="M62" s="24"/>
      <c r="N62" s="23"/>
      <c r="O62" s="28"/>
      <c r="P62" s="28"/>
      <c r="Q62" s="8"/>
      <c r="R62" s="8"/>
      <c r="S62" s="24"/>
      <c r="T62" s="8"/>
      <c r="U62" s="24"/>
      <c r="V62" s="8"/>
      <c r="W62" s="110" t="s">
        <v>0</v>
      </c>
    </row>
    <row r="63" spans="1:23">
      <c r="A63" s="15"/>
      <c r="B63" s="16"/>
      <c r="C63" s="16" t="s">
        <v>301</v>
      </c>
      <c r="D63" s="3"/>
      <c r="E63" s="57">
        <f>SUM(J64:J76)</f>
        <v>8748.6646000000001</v>
      </c>
      <c r="F63" s="5"/>
      <c r="G63" s="6"/>
      <c r="H63" s="6"/>
      <c r="I63" s="23"/>
      <c r="J63" s="23"/>
      <c r="K63" s="21"/>
      <c r="L63" s="24"/>
      <c r="M63" s="24"/>
      <c r="N63" s="23"/>
      <c r="O63" s="28"/>
      <c r="P63" s="28"/>
      <c r="Q63" s="8"/>
      <c r="R63" s="8"/>
      <c r="S63" s="24"/>
      <c r="T63" s="8"/>
      <c r="U63" s="24"/>
      <c r="V63" s="8"/>
      <c r="W63" s="110" t="s">
        <v>0</v>
      </c>
    </row>
    <row r="64" spans="1:23" ht="47.25">
      <c r="A64" s="60" t="s">
        <v>81</v>
      </c>
      <c r="B64" s="1" t="s">
        <v>26</v>
      </c>
      <c r="C64" s="1" t="s">
        <v>98</v>
      </c>
      <c r="D64" s="3">
        <v>1</v>
      </c>
      <c r="E64" s="4" t="s">
        <v>99</v>
      </c>
      <c r="F64" s="5" t="s">
        <v>29</v>
      </c>
      <c r="G64" s="133">
        <v>1</v>
      </c>
      <c r="H64" s="50" t="s">
        <v>466</v>
      </c>
      <c r="I64" s="51">
        <v>226000</v>
      </c>
      <c r="J64" s="51">
        <f>G64*I64*1.3/1000</f>
        <v>293.8</v>
      </c>
      <c r="K64" s="30" t="s">
        <v>467</v>
      </c>
      <c r="L64" s="24"/>
      <c r="M64" s="24"/>
      <c r="N64" s="24">
        <f t="shared" ref="N64:N69" si="16">J64*0.3</f>
        <v>88.14</v>
      </c>
      <c r="O64" s="24">
        <f t="shared" ref="O64:O69" si="17">J64*0.3</f>
        <v>88.14</v>
      </c>
      <c r="P64" s="8">
        <f t="shared" ref="P64:P69" si="18">J64*0.4</f>
        <v>117.52000000000001</v>
      </c>
      <c r="Q64" s="8"/>
      <c r="R64" s="8"/>
      <c r="S64" s="24"/>
      <c r="T64" s="8"/>
      <c r="U64" s="63" t="s">
        <v>231</v>
      </c>
      <c r="V64" s="61">
        <f t="shared" ref="V64:V76" si="19">SUM(L64:T64)-J64</f>
        <v>0</v>
      </c>
      <c r="W64" s="110" t="s">
        <v>500</v>
      </c>
    </row>
    <row r="65" spans="1:23" ht="31.5">
      <c r="A65" s="60" t="s">
        <v>81</v>
      </c>
      <c r="B65" s="1" t="s">
        <v>91</v>
      </c>
      <c r="C65" s="1" t="s">
        <v>98</v>
      </c>
      <c r="D65" s="3">
        <v>1</v>
      </c>
      <c r="E65" s="4" t="s">
        <v>100</v>
      </c>
      <c r="F65" s="5" t="s">
        <v>29</v>
      </c>
      <c r="G65" s="50">
        <v>1</v>
      </c>
      <c r="H65" s="50" t="s">
        <v>101</v>
      </c>
      <c r="I65" s="51">
        <v>151619</v>
      </c>
      <c r="J65" s="51">
        <f t="shared" ref="J65:J69" si="20">G65*I65*1.3/1000</f>
        <v>197.10470000000001</v>
      </c>
      <c r="K65" s="30" t="s">
        <v>468</v>
      </c>
      <c r="L65" s="24"/>
      <c r="M65" s="24"/>
      <c r="N65" s="24">
        <f t="shared" si="16"/>
        <v>59.131410000000002</v>
      </c>
      <c r="O65" s="24">
        <f t="shared" si="17"/>
        <v>59.131410000000002</v>
      </c>
      <c r="P65" s="8">
        <f t="shared" si="18"/>
        <v>78.841880000000003</v>
      </c>
      <c r="Q65" s="8"/>
      <c r="R65" s="8"/>
      <c r="S65" s="24"/>
      <c r="T65" s="8"/>
      <c r="U65" s="63" t="s">
        <v>231</v>
      </c>
      <c r="V65" s="61">
        <f t="shared" si="19"/>
        <v>0</v>
      </c>
      <c r="W65" s="110" t="s">
        <v>500</v>
      </c>
    </row>
    <row r="66" spans="1:23">
      <c r="A66" s="60" t="s">
        <v>81</v>
      </c>
      <c r="B66" s="1" t="s">
        <v>91</v>
      </c>
      <c r="C66" s="1" t="s">
        <v>98</v>
      </c>
      <c r="D66" s="3">
        <v>1</v>
      </c>
      <c r="E66" s="4" t="s">
        <v>102</v>
      </c>
      <c r="F66" s="5" t="s">
        <v>29</v>
      </c>
      <c r="G66" s="50">
        <v>200</v>
      </c>
      <c r="H66" s="50" t="s">
        <v>40</v>
      </c>
      <c r="I66" s="51">
        <v>70</v>
      </c>
      <c r="J66" s="51">
        <f t="shared" si="20"/>
        <v>18.2</v>
      </c>
      <c r="K66" s="124" t="s">
        <v>375</v>
      </c>
      <c r="L66" s="24"/>
      <c r="M66" s="24"/>
      <c r="N66" s="24">
        <f t="shared" si="16"/>
        <v>5.46</v>
      </c>
      <c r="O66" s="24">
        <f t="shared" si="17"/>
        <v>5.46</v>
      </c>
      <c r="P66" s="8">
        <f t="shared" si="18"/>
        <v>7.28</v>
      </c>
      <c r="Q66" s="8"/>
      <c r="R66" s="8"/>
      <c r="S66" s="24"/>
      <c r="T66" s="8"/>
      <c r="U66" s="63" t="s">
        <v>231</v>
      </c>
      <c r="V66" s="61">
        <f t="shared" si="19"/>
        <v>0</v>
      </c>
      <c r="W66" s="110" t="s">
        <v>500</v>
      </c>
    </row>
    <row r="67" spans="1:23" ht="47.25">
      <c r="A67" s="60" t="s">
        <v>81</v>
      </c>
      <c r="B67" s="1" t="s">
        <v>91</v>
      </c>
      <c r="C67" s="1" t="s">
        <v>98</v>
      </c>
      <c r="D67" s="3">
        <v>1</v>
      </c>
      <c r="E67" s="4" t="s">
        <v>103</v>
      </c>
      <c r="F67" s="5" t="s">
        <v>29</v>
      </c>
      <c r="G67" s="50">
        <v>2</v>
      </c>
      <c r="H67" s="50" t="s">
        <v>101</v>
      </c>
      <c r="I67" s="51">
        <v>14844</v>
      </c>
      <c r="J67" s="51">
        <f t="shared" si="20"/>
        <v>38.5944</v>
      </c>
      <c r="K67" s="30" t="s">
        <v>469</v>
      </c>
      <c r="L67" s="24"/>
      <c r="M67" s="24"/>
      <c r="N67" s="24">
        <f t="shared" si="16"/>
        <v>11.57832</v>
      </c>
      <c r="O67" s="24">
        <f t="shared" si="17"/>
        <v>11.57832</v>
      </c>
      <c r="P67" s="8">
        <f t="shared" si="18"/>
        <v>15.437760000000001</v>
      </c>
      <c r="Q67" s="8"/>
      <c r="R67" s="8"/>
      <c r="S67" s="24"/>
      <c r="T67" s="8"/>
      <c r="U67" s="63" t="s">
        <v>231</v>
      </c>
      <c r="V67" s="61">
        <f t="shared" si="19"/>
        <v>0</v>
      </c>
      <c r="W67" s="110" t="s">
        <v>500</v>
      </c>
    </row>
    <row r="68" spans="1:23">
      <c r="A68" s="60" t="s">
        <v>81</v>
      </c>
      <c r="B68" s="1" t="s">
        <v>91</v>
      </c>
      <c r="C68" s="1" t="s">
        <v>98</v>
      </c>
      <c r="D68" s="3">
        <v>1</v>
      </c>
      <c r="E68" s="4" t="s">
        <v>104</v>
      </c>
      <c r="F68" s="5" t="s">
        <v>29</v>
      </c>
      <c r="G68" s="50">
        <v>19</v>
      </c>
      <c r="H68" s="50" t="s">
        <v>40</v>
      </c>
      <c r="I68" s="51">
        <v>2500</v>
      </c>
      <c r="J68" s="51">
        <f t="shared" si="20"/>
        <v>61.75</v>
      </c>
      <c r="K68" s="124" t="s">
        <v>376</v>
      </c>
      <c r="L68" s="24"/>
      <c r="M68" s="24"/>
      <c r="N68" s="24">
        <f t="shared" si="16"/>
        <v>18.524999999999999</v>
      </c>
      <c r="O68" s="24">
        <f t="shared" si="17"/>
        <v>18.524999999999999</v>
      </c>
      <c r="P68" s="8">
        <f t="shared" si="18"/>
        <v>24.700000000000003</v>
      </c>
      <c r="Q68" s="8"/>
      <c r="R68" s="8"/>
      <c r="S68" s="24"/>
      <c r="T68" s="8"/>
      <c r="U68" s="63" t="s">
        <v>231</v>
      </c>
      <c r="V68" s="61">
        <f t="shared" si="19"/>
        <v>0</v>
      </c>
      <c r="W68" s="110" t="s">
        <v>500</v>
      </c>
    </row>
    <row r="69" spans="1:23">
      <c r="A69" s="60" t="s">
        <v>81</v>
      </c>
      <c r="B69" s="1" t="s">
        <v>91</v>
      </c>
      <c r="C69" s="1" t="s">
        <v>98</v>
      </c>
      <c r="D69" s="3">
        <v>1</v>
      </c>
      <c r="E69" s="4" t="s">
        <v>105</v>
      </c>
      <c r="F69" s="5" t="s">
        <v>29</v>
      </c>
      <c r="G69" s="50">
        <v>7</v>
      </c>
      <c r="H69" s="50" t="s">
        <v>40</v>
      </c>
      <c r="I69" s="51">
        <v>2000</v>
      </c>
      <c r="J69" s="51">
        <f t="shared" si="20"/>
        <v>18.2</v>
      </c>
      <c r="K69" s="124" t="s">
        <v>377</v>
      </c>
      <c r="L69" s="24"/>
      <c r="M69" s="24"/>
      <c r="N69" s="24">
        <f t="shared" si="16"/>
        <v>5.46</v>
      </c>
      <c r="O69" s="24">
        <f t="shared" si="17"/>
        <v>5.46</v>
      </c>
      <c r="P69" s="8">
        <f t="shared" si="18"/>
        <v>7.28</v>
      </c>
      <c r="Q69" s="8"/>
      <c r="R69" s="8"/>
      <c r="S69" s="24"/>
      <c r="T69" s="8"/>
      <c r="U69" s="63" t="s">
        <v>231</v>
      </c>
      <c r="V69" s="61">
        <f t="shared" si="19"/>
        <v>0</v>
      </c>
      <c r="W69" s="110" t="s">
        <v>500</v>
      </c>
    </row>
    <row r="70" spans="1:23">
      <c r="A70" s="60" t="s">
        <v>106</v>
      </c>
      <c r="B70" s="1" t="s">
        <v>91</v>
      </c>
      <c r="C70" s="1" t="s">
        <v>98</v>
      </c>
      <c r="D70" s="3">
        <v>1</v>
      </c>
      <c r="E70" s="4" t="s">
        <v>107</v>
      </c>
      <c r="F70" s="5" t="s">
        <v>29</v>
      </c>
      <c r="G70" s="6">
        <v>4</v>
      </c>
      <c r="H70" s="6" t="s">
        <v>108</v>
      </c>
      <c r="I70" s="23">
        <v>50000</v>
      </c>
      <c r="J70" s="23">
        <f t="shared" ref="J70:J71" si="21">G70*I70*1.3/1000</f>
        <v>260</v>
      </c>
      <c r="K70" s="124" t="s">
        <v>308</v>
      </c>
      <c r="L70" s="24"/>
      <c r="M70" s="24"/>
      <c r="N70" s="24">
        <f>J70*0.25</f>
        <v>65</v>
      </c>
      <c r="O70" s="8">
        <f>J70*0.25</f>
        <v>65</v>
      </c>
      <c r="P70" s="8">
        <f>J70*0.25</f>
        <v>65</v>
      </c>
      <c r="Q70" s="8">
        <f>J70*0.25</f>
        <v>65</v>
      </c>
      <c r="R70" s="8"/>
      <c r="S70" s="24"/>
      <c r="T70" s="8"/>
      <c r="U70" s="63" t="s">
        <v>231</v>
      </c>
      <c r="V70" s="61">
        <f t="shared" si="19"/>
        <v>0</v>
      </c>
      <c r="W70" s="110" t="s">
        <v>500</v>
      </c>
    </row>
    <row r="71" spans="1:23">
      <c r="A71" s="60" t="s">
        <v>106</v>
      </c>
      <c r="B71" s="1" t="s">
        <v>91</v>
      </c>
      <c r="C71" s="1" t="s">
        <v>98</v>
      </c>
      <c r="D71" s="3">
        <v>1</v>
      </c>
      <c r="E71" s="4" t="s">
        <v>109</v>
      </c>
      <c r="F71" s="5" t="s">
        <v>29</v>
      </c>
      <c r="G71" s="6">
        <v>6</v>
      </c>
      <c r="H71" s="6" t="s">
        <v>108</v>
      </c>
      <c r="I71" s="23">
        <v>30000</v>
      </c>
      <c r="J71" s="23">
        <f t="shared" si="21"/>
        <v>234</v>
      </c>
      <c r="K71" s="100" t="s">
        <v>490</v>
      </c>
      <c r="L71" s="24"/>
      <c r="M71" s="24"/>
      <c r="N71" s="24">
        <f>J71*0.25</f>
        <v>58.5</v>
      </c>
      <c r="O71" s="8">
        <f>J71*0.25</f>
        <v>58.5</v>
      </c>
      <c r="P71" s="8">
        <f>J71*0.25</f>
        <v>58.5</v>
      </c>
      <c r="Q71" s="8">
        <f>J71*0.25</f>
        <v>58.5</v>
      </c>
      <c r="R71" s="8"/>
      <c r="S71" s="24"/>
      <c r="T71" s="8"/>
      <c r="U71" s="63" t="s">
        <v>231</v>
      </c>
      <c r="V71" s="61">
        <f t="shared" si="19"/>
        <v>0</v>
      </c>
      <c r="W71" s="110" t="s">
        <v>500</v>
      </c>
    </row>
    <row r="72" spans="1:23" s="145" customFormat="1" ht="31.5">
      <c r="A72" s="60" t="s">
        <v>106</v>
      </c>
      <c r="B72" s="144" t="s">
        <v>91</v>
      </c>
      <c r="C72" s="144" t="s">
        <v>98</v>
      </c>
      <c r="D72" s="3">
        <v>1</v>
      </c>
      <c r="E72" s="4" t="s">
        <v>512</v>
      </c>
      <c r="F72" s="5" t="s">
        <v>29</v>
      </c>
      <c r="G72" s="6">
        <v>8</v>
      </c>
      <c r="H72" s="6" t="s">
        <v>513</v>
      </c>
      <c r="I72" s="23">
        <v>230000</v>
      </c>
      <c r="J72" s="23">
        <f t="shared" ref="J72" si="22">G72*I72*1.3/1000</f>
        <v>2392</v>
      </c>
      <c r="K72" s="100" t="s">
        <v>514</v>
      </c>
      <c r="L72" s="146"/>
      <c r="M72" s="52">
        <f t="shared" ref="M72:T72" si="23">$J72/8</f>
        <v>299</v>
      </c>
      <c r="N72" s="52">
        <f t="shared" si="23"/>
        <v>299</v>
      </c>
      <c r="O72" s="52">
        <f t="shared" si="23"/>
        <v>299</v>
      </c>
      <c r="P72" s="52">
        <f t="shared" si="23"/>
        <v>299</v>
      </c>
      <c r="Q72" s="52">
        <f t="shared" si="23"/>
        <v>299</v>
      </c>
      <c r="R72" s="52">
        <f t="shared" si="23"/>
        <v>299</v>
      </c>
      <c r="S72" s="52">
        <f t="shared" si="23"/>
        <v>299</v>
      </c>
      <c r="T72" s="52">
        <f t="shared" si="23"/>
        <v>299</v>
      </c>
      <c r="U72" s="63" t="s">
        <v>231</v>
      </c>
      <c r="V72" s="61">
        <f t="shared" si="19"/>
        <v>0</v>
      </c>
      <c r="W72" s="110" t="s">
        <v>500</v>
      </c>
    </row>
    <row r="73" spans="1:23" ht="31.5">
      <c r="A73" s="60" t="s">
        <v>106</v>
      </c>
      <c r="B73" s="64" t="s">
        <v>91</v>
      </c>
      <c r="C73" s="1" t="s">
        <v>98</v>
      </c>
      <c r="D73" s="3">
        <v>1</v>
      </c>
      <c r="E73" s="4" t="s">
        <v>316</v>
      </c>
      <c r="F73" s="5" t="s">
        <v>29</v>
      </c>
      <c r="G73" s="6">
        <v>1</v>
      </c>
      <c r="H73" s="6" t="s">
        <v>444</v>
      </c>
      <c r="I73" s="23">
        <v>374064</v>
      </c>
      <c r="J73" s="23">
        <f>G73*I73*1.3/1000</f>
        <v>486.28320000000002</v>
      </c>
      <c r="K73" s="100" t="s">
        <v>489</v>
      </c>
      <c r="L73" s="24"/>
      <c r="M73" s="24"/>
      <c r="N73" s="24">
        <f t="shared" ref="N73" si="24">J73*0.3</f>
        <v>145.88496000000001</v>
      </c>
      <c r="O73" s="24">
        <f>J73*0.3</f>
        <v>145.88496000000001</v>
      </c>
      <c r="P73" s="8">
        <f>J73*0.4</f>
        <v>194.51328000000001</v>
      </c>
      <c r="Q73" s="8"/>
      <c r="R73" s="8"/>
      <c r="S73" s="24"/>
      <c r="T73" s="8"/>
      <c r="U73" s="63" t="s">
        <v>231</v>
      </c>
      <c r="V73" s="61">
        <f t="shared" si="19"/>
        <v>0</v>
      </c>
      <c r="W73" s="110" t="s">
        <v>500</v>
      </c>
    </row>
    <row r="74" spans="1:23" s="145" customFormat="1" ht="31.5">
      <c r="A74" s="60" t="s">
        <v>506</v>
      </c>
      <c r="B74" s="144" t="s">
        <v>91</v>
      </c>
      <c r="C74" s="144" t="s">
        <v>98</v>
      </c>
      <c r="D74" s="3">
        <v>1</v>
      </c>
      <c r="E74" s="144" t="s">
        <v>507</v>
      </c>
      <c r="F74" s="5" t="s">
        <v>29</v>
      </c>
      <c r="G74" s="6">
        <v>1</v>
      </c>
      <c r="H74" s="6" t="s">
        <v>508</v>
      </c>
      <c r="I74" s="23">
        <v>173000</v>
      </c>
      <c r="J74" s="23">
        <f>G74*I74*1.3/1000</f>
        <v>224.9</v>
      </c>
      <c r="K74" s="100" t="s">
        <v>509</v>
      </c>
      <c r="L74" s="146"/>
      <c r="M74" s="146"/>
      <c r="N74" s="146">
        <f t="shared" ref="N74" si="25">J74*0.3</f>
        <v>67.47</v>
      </c>
      <c r="O74" s="146">
        <f>J74*0.3</f>
        <v>67.47</v>
      </c>
      <c r="P74" s="8">
        <f>J74*0.4</f>
        <v>89.960000000000008</v>
      </c>
      <c r="Q74" s="8"/>
      <c r="R74" s="8"/>
      <c r="S74" s="146"/>
      <c r="T74" s="8"/>
      <c r="U74" s="63" t="s">
        <v>231</v>
      </c>
      <c r="V74" s="61">
        <f t="shared" si="19"/>
        <v>0</v>
      </c>
      <c r="W74" s="110" t="s">
        <v>500</v>
      </c>
    </row>
    <row r="75" spans="1:23" s="145" customFormat="1" ht="31.5">
      <c r="A75" s="60" t="s">
        <v>506</v>
      </c>
      <c r="B75" s="144" t="s">
        <v>91</v>
      </c>
      <c r="C75" s="144" t="s">
        <v>98</v>
      </c>
      <c r="D75" s="3">
        <v>1</v>
      </c>
      <c r="E75" s="144" t="s">
        <v>510</v>
      </c>
      <c r="F75" s="5" t="s">
        <v>29</v>
      </c>
      <c r="G75" s="6">
        <v>1</v>
      </c>
      <c r="H75" s="6" t="s">
        <v>511</v>
      </c>
      <c r="I75" s="23">
        <v>115000</v>
      </c>
      <c r="J75" s="23">
        <f>G75*I75*1.3/1000</f>
        <v>149.5</v>
      </c>
      <c r="K75" s="100" t="s">
        <v>526</v>
      </c>
      <c r="L75" s="146"/>
      <c r="M75" s="146"/>
      <c r="N75" s="146">
        <f t="shared" ref="N75" si="26">J75*0.3</f>
        <v>44.85</v>
      </c>
      <c r="O75" s="146">
        <f>J75*0.3</f>
        <v>44.85</v>
      </c>
      <c r="P75" s="8">
        <f>J75*0.4</f>
        <v>59.800000000000004</v>
      </c>
      <c r="Q75" s="8"/>
      <c r="R75" s="8"/>
      <c r="S75" s="146"/>
      <c r="T75" s="8"/>
      <c r="U75" s="63" t="s">
        <v>231</v>
      </c>
      <c r="V75" s="61">
        <f t="shared" si="19"/>
        <v>0</v>
      </c>
      <c r="W75" s="110" t="s">
        <v>500</v>
      </c>
    </row>
    <row r="76" spans="1:23">
      <c r="A76" s="60" t="s">
        <v>106</v>
      </c>
      <c r="B76" s="1" t="s">
        <v>91</v>
      </c>
      <c r="C76" s="1" t="s">
        <v>98</v>
      </c>
      <c r="D76" s="3">
        <v>2</v>
      </c>
      <c r="E76" s="4" t="s">
        <v>97</v>
      </c>
      <c r="F76" s="5" t="s">
        <v>29</v>
      </c>
      <c r="G76" s="6"/>
      <c r="H76" s="6"/>
      <c r="I76" s="23"/>
      <c r="J76" s="23">
        <f>SUM(J64:J75)</f>
        <v>4374.3323</v>
      </c>
      <c r="K76" s="27"/>
      <c r="L76" s="24"/>
      <c r="M76" s="24"/>
      <c r="N76" s="24"/>
      <c r="O76" s="8"/>
      <c r="P76" s="8"/>
      <c r="Q76" s="8">
        <f>$J76*0.4</f>
        <v>1749.7329200000001</v>
      </c>
      <c r="R76" s="8">
        <f>$J76*0.4</f>
        <v>1749.7329200000001</v>
      </c>
      <c r="S76" s="8">
        <f>$J76*0.2</f>
        <v>874.86646000000007</v>
      </c>
      <c r="T76" s="8"/>
      <c r="U76" s="63" t="s">
        <v>231</v>
      </c>
      <c r="V76" s="61">
        <f t="shared" si="19"/>
        <v>0</v>
      </c>
      <c r="W76" s="110" t="s">
        <v>500</v>
      </c>
    </row>
    <row r="77" spans="1:23">
      <c r="A77" s="2"/>
      <c r="B77" s="1"/>
      <c r="C77" s="1"/>
      <c r="D77" s="3"/>
      <c r="E77" s="4"/>
      <c r="F77" s="5"/>
      <c r="G77" s="6"/>
      <c r="H77" s="6"/>
      <c r="I77" s="23"/>
      <c r="J77" s="23"/>
      <c r="K77" s="2"/>
      <c r="L77" s="24"/>
      <c r="M77" s="24"/>
      <c r="N77" s="24"/>
      <c r="O77" s="8"/>
      <c r="P77" s="8"/>
      <c r="Q77" s="8"/>
      <c r="R77" s="8"/>
      <c r="S77" s="24"/>
      <c r="T77" s="8"/>
      <c r="U77" s="24"/>
      <c r="V77" s="8"/>
      <c r="W77" s="110" t="s">
        <v>0</v>
      </c>
    </row>
    <row r="78" spans="1:23">
      <c r="A78" s="15"/>
      <c r="B78" s="16"/>
      <c r="C78" s="16" t="s">
        <v>111</v>
      </c>
      <c r="D78" s="3"/>
      <c r="E78" s="57">
        <f>J87+J88</f>
        <v>216</v>
      </c>
      <c r="F78" s="5"/>
      <c r="G78" s="6"/>
      <c r="H78" s="6"/>
      <c r="I78" s="23"/>
      <c r="J78" s="23"/>
      <c r="K78" s="86">
        <f>SUM(J79:J86)</f>
        <v>534.05349999999999</v>
      </c>
      <c r="L78" s="24" t="s">
        <v>0</v>
      </c>
      <c r="M78" s="24"/>
      <c r="N78" s="24"/>
      <c r="O78" s="8"/>
      <c r="P78" s="8"/>
      <c r="Q78" s="8"/>
      <c r="R78" s="8"/>
      <c r="S78" s="24"/>
      <c r="T78" s="8"/>
      <c r="U78" s="24"/>
      <c r="V78" s="8"/>
      <c r="W78" s="110" t="s">
        <v>0</v>
      </c>
    </row>
    <row r="79" spans="1:23">
      <c r="A79" s="60" t="s">
        <v>190</v>
      </c>
      <c r="B79" s="1" t="s">
        <v>91</v>
      </c>
      <c r="C79" s="1" t="s">
        <v>111</v>
      </c>
      <c r="D79" s="3" t="s">
        <v>112</v>
      </c>
      <c r="E79" s="25" t="s">
        <v>113</v>
      </c>
      <c r="F79" s="5" t="s">
        <v>29</v>
      </c>
      <c r="G79" s="6">
        <v>20</v>
      </c>
      <c r="H79" s="6" t="s">
        <v>114</v>
      </c>
      <c r="I79" s="51">
        <v>740</v>
      </c>
      <c r="J79" s="23">
        <f t="shared" ref="J79:J81" si="27">G79*I79*1.3/1000</f>
        <v>19.239999999999998</v>
      </c>
      <c r="K79" s="100" t="s">
        <v>394</v>
      </c>
      <c r="L79" s="24"/>
      <c r="M79" s="24"/>
      <c r="N79" s="24"/>
      <c r="O79" s="8"/>
      <c r="P79" s="8"/>
      <c r="Q79" s="8">
        <f t="shared" ref="Q79:R84" si="28">$J79/2</f>
        <v>9.6199999999999992</v>
      </c>
      <c r="R79" s="8">
        <f t="shared" si="28"/>
        <v>9.6199999999999992</v>
      </c>
      <c r="S79" s="24"/>
      <c r="T79" s="8"/>
      <c r="U79" s="24" t="s">
        <v>236</v>
      </c>
      <c r="V79" s="61">
        <f t="shared" ref="V79:V88" si="29">SUM(L79:T79)-J79</f>
        <v>0</v>
      </c>
      <c r="W79" s="110" t="s">
        <v>500</v>
      </c>
    </row>
    <row r="80" spans="1:23">
      <c r="A80" s="60" t="s">
        <v>190</v>
      </c>
      <c r="B80" s="1" t="s">
        <v>91</v>
      </c>
      <c r="C80" s="1" t="s">
        <v>111</v>
      </c>
      <c r="D80" s="3" t="s">
        <v>112</v>
      </c>
      <c r="E80" s="4" t="s">
        <v>115</v>
      </c>
      <c r="F80" s="5" t="s">
        <v>29</v>
      </c>
      <c r="G80" s="6">
        <v>25</v>
      </c>
      <c r="H80" s="6" t="s">
        <v>116</v>
      </c>
      <c r="I80" s="51">
        <v>1611</v>
      </c>
      <c r="J80" s="23">
        <f t="shared" si="27"/>
        <v>52.357500000000002</v>
      </c>
      <c r="K80" s="100" t="s">
        <v>394</v>
      </c>
      <c r="L80" s="24"/>
      <c r="M80" s="24"/>
      <c r="N80" s="24"/>
      <c r="O80" s="8"/>
      <c r="P80" s="8"/>
      <c r="Q80" s="8">
        <f t="shared" si="28"/>
        <v>26.178750000000001</v>
      </c>
      <c r="R80" s="8">
        <f t="shared" si="28"/>
        <v>26.178750000000001</v>
      </c>
      <c r="S80" s="24"/>
      <c r="T80" s="8"/>
      <c r="U80" s="24" t="s">
        <v>236</v>
      </c>
      <c r="V80" s="61">
        <f t="shared" si="29"/>
        <v>0</v>
      </c>
      <c r="W80" s="110" t="s">
        <v>500</v>
      </c>
    </row>
    <row r="81" spans="1:23" ht="31.5">
      <c r="A81" s="60" t="s">
        <v>117</v>
      </c>
      <c r="B81" s="1" t="s">
        <v>91</v>
      </c>
      <c r="C81" s="1" t="s">
        <v>111</v>
      </c>
      <c r="D81" s="3" t="s">
        <v>112</v>
      </c>
      <c r="E81" s="4" t="s">
        <v>118</v>
      </c>
      <c r="F81" s="5" t="s">
        <v>29</v>
      </c>
      <c r="G81" s="6">
        <v>25</v>
      </c>
      <c r="H81" s="6" t="s">
        <v>119</v>
      </c>
      <c r="I81" s="23">
        <v>140</v>
      </c>
      <c r="J81" s="23">
        <f t="shared" si="27"/>
        <v>4.55</v>
      </c>
      <c r="K81" s="2" t="s">
        <v>346</v>
      </c>
      <c r="L81" s="24"/>
      <c r="M81" s="24"/>
      <c r="N81" s="24"/>
      <c r="O81" s="8"/>
      <c r="P81" s="8"/>
      <c r="Q81" s="8">
        <f t="shared" si="28"/>
        <v>2.2749999999999999</v>
      </c>
      <c r="R81" s="8">
        <f t="shared" si="28"/>
        <v>2.2749999999999999</v>
      </c>
      <c r="S81" s="24"/>
      <c r="T81" s="8"/>
      <c r="U81" s="24" t="s">
        <v>236</v>
      </c>
      <c r="V81" s="61">
        <f t="shared" si="29"/>
        <v>0</v>
      </c>
      <c r="W81" s="110" t="s">
        <v>500</v>
      </c>
    </row>
    <row r="82" spans="1:23" ht="63">
      <c r="A82" s="60" t="s">
        <v>190</v>
      </c>
      <c r="B82" s="1" t="s">
        <v>91</v>
      </c>
      <c r="C82" s="1" t="s">
        <v>111</v>
      </c>
      <c r="D82" s="3" t="s">
        <v>112</v>
      </c>
      <c r="E82" s="4" t="s">
        <v>120</v>
      </c>
      <c r="F82" s="5" t="s">
        <v>29</v>
      </c>
      <c r="G82" s="50">
        <v>37</v>
      </c>
      <c r="H82" s="50" t="s">
        <v>121</v>
      </c>
      <c r="I82" s="51">
        <v>10650</v>
      </c>
      <c r="J82" s="23">
        <f>G82*I82*1/1000</f>
        <v>394.05</v>
      </c>
      <c r="K82" s="104" t="s">
        <v>395</v>
      </c>
      <c r="L82" s="1"/>
      <c r="M82" s="24"/>
      <c r="N82" s="24"/>
      <c r="O82" s="8"/>
      <c r="P82" s="8"/>
      <c r="Q82" s="8">
        <f t="shared" si="28"/>
        <v>197.02500000000001</v>
      </c>
      <c r="R82" s="8">
        <f t="shared" si="28"/>
        <v>197.02500000000001</v>
      </c>
      <c r="S82" s="24"/>
      <c r="T82" s="8"/>
      <c r="U82" s="24" t="s">
        <v>236</v>
      </c>
      <c r="V82" s="61">
        <f t="shared" si="29"/>
        <v>0</v>
      </c>
      <c r="W82" s="110" t="s">
        <v>500</v>
      </c>
    </row>
    <row r="83" spans="1:23">
      <c r="A83" s="60" t="s">
        <v>106</v>
      </c>
      <c r="B83" s="1" t="s">
        <v>91</v>
      </c>
      <c r="C83" s="1" t="s">
        <v>111</v>
      </c>
      <c r="D83" s="3" t="s">
        <v>112</v>
      </c>
      <c r="E83" s="4" t="s">
        <v>122</v>
      </c>
      <c r="F83" s="5" t="s">
        <v>29</v>
      </c>
      <c r="G83" s="6">
        <v>30</v>
      </c>
      <c r="H83" s="6" t="s">
        <v>123</v>
      </c>
      <c r="I83" s="23">
        <v>900</v>
      </c>
      <c r="J83" s="23">
        <f t="shared" ref="J83:J88" si="30">G83*I83*1/1000</f>
        <v>27</v>
      </c>
      <c r="K83" s="30" t="s">
        <v>124</v>
      </c>
      <c r="L83" s="24"/>
      <c r="M83" s="24"/>
      <c r="N83" s="24"/>
      <c r="O83" s="8"/>
      <c r="P83" s="8"/>
      <c r="Q83" s="8">
        <f t="shared" si="28"/>
        <v>13.5</v>
      </c>
      <c r="R83" s="8">
        <f t="shared" si="28"/>
        <v>13.5</v>
      </c>
      <c r="S83" s="24"/>
      <c r="T83" s="8"/>
      <c r="U83" s="24" t="s">
        <v>236</v>
      </c>
      <c r="V83" s="61">
        <f t="shared" si="29"/>
        <v>0</v>
      </c>
      <c r="W83" s="110" t="s">
        <v>500</v>
      </c>
    </row>
    <row r="84" spans="1:23" ht="31.5">
      <c r="A84" s="60" t="s">
        <v>106</v>
      </c>
      <c r="B84" s="1" t="s">
        <v>91</v>
      </c>
      <c r="C84" s="1" t="s">
        <v>111</v>
      </c>
      <c r="D84" s="3" t="s">
        <v>112</v>
      </c>
      <c r="E84" s="4" t="s">
        <v>125</v>
      </c>
      <c r="F84" s="5" t="s">
        <v>29</v>
      </c>
      <c r="G84" s="6">
        <v>4</v>
      </c>
      <c r="H84" s="6" t="s">
        <v>126</v>
      </c>
      <c r="I84" s="23">
        <v>2280</v>
      </c>
      <c r="J84" s="23">
        <f>G84*I84*1.3/1000</f>
        <v>11.856</v>
      </c>
      <c r="K84" s="150" t="s">
        <v>445</v>
      </c>
      <c r="L84" s="24"/>
      <c r="M84" s="24"/>
      <c r="N84" s="24"/>
      <c r="O84" s="8"/>
      <c r="P84" s="8"/>
      <c r="Q84" s="8">
        <f t="shared" si="28"/>
        <v>5.9279999999999999</v>
      </c>
      <c r="R84" s="8">
        <f t="shared" si="28"/>
        <v>5.9279999999999999</v>
      </c>
      <c r="S84" s="24"/>
      <c r="T84" s="8"/>
      <c r="U84" s="24" t="s">
        <v>236</v>
      </c>
      <c r="V84" s="61">
        <f t="shared" si="29"/>
        <v>0</v>
      </c>
      <c r="W84" s="110" t="s">
        <v>500</v>
      </c>
    </row>
    <row r="85" spans="1:23">
      <c r="A85" s="60" t="s">
        <v>106</v>
      </c>
      <c r="B85" s="1" t="s">
        <v>91</v>
      </c>
      <c r="C85" s="1" t="s">
        <v>111</v>
      </c>
      <c r="D85" s="3">
        <v>1</v>
      </c>
      <c r="E85" s="4" t="s">
        <v>127</v>
      </c>
      <c r="F85" s="5" t="s">
        <v>29</v>
      </c>
      <c r="G85" s="6">
        <v>5</v>
      </c>
      <c r="H85" s="6" t="s">
        <v>128</v>
      </c>
      <c r="I85" s="23">
        <v>2500</v>
      </c>
      <c r="J85" s="23">
        <f t="shared" si="30"/>
        <v>12.5</v>
      </c>
      <c r="K85" s="100" t="s">
        <v>527</v>
      </c>
      <c r="L85" s="24"/>
      <c r="M85" s="24"/>
      <c r="N85" s="24"/>
      <c r="O85" s="8"/>
      <c r="P85" s="8">
        <f t="shared" ref="P85:Q87" si="31">$J85/2</f>
        <v>6.25</v>
      </c>
      <c r="Q85" s="8">
        <f t="shared" si="31"/>
        <v>6.25</v>
      </c>
      <c r="R85" s="8"/>
      <c r="S85" s="24"/>
      <c r="T85" s="8"/>
      <c r="U85" s="24" t="s">
        <v>236</v>
      </c>
      <c r="V85" s="61">
        <f t="shared" si="29"/>
        <v>0</v>
      </c>
      <c r="W85" s="110" t="s">
        <v>500</v>
      </c>
    </row>
    <row r="86" spans="1:23">
      <c r="A86" s="60" t="s">
        <v>106</v>
      </c>
      <c r="B86" s="1" t="s">
        <v>91</v>
      </c>
      <c r="C86" s="1" t="s">
        <v>111</v>
      </c>
      <c r="D86" s="3">
        <v>2</v>
      </c>
      <c r="E86" s="4" t="s">
        <v>129</v>
      </c>
      <c r="F86" s="5" t="s">
        <v>29</v>
      </c>
      <c r="G86" s="6">
        <v>5</v>
      </c>
      <c r="H86" s="6" t="s">
        <v>128</v>
      </c>
      <c r="I86" s="23">
        <v>2500</v>
      </c>
      <c r="J86" s="23">
        <f t="shared" si="30"/>
        <v>12.5</v>
      </c>
      <c r="K86" s="100" t="s">
        <v>527</v>
      </c>
      <c r="L86" s="24"/>
      <c r="M86" s="24"/>
      <c r="N86" s="24"/>
      <c r="O86" s="8"/>
      <c r="P86" s="8">
        <f t="shared" si="31"/>
        <v>6.25</v>
      </c>
      <c r="Q86" s="8">
        <f t="shared" si="31"/>
        <v>6.25</v>
      </c>
      <c r="R86" s="8"/>
      <c r="S86" s="24"/>
      <c r="T86" s="8"/>
      <c r="U86" s="24" t="s">
        <v>236</v>
      </c>
      <c r="V86" s="61">
        <f t="shared" si="29"/>
        <v>0</v>
      </c>
      <c r="W86" s="110" t="s">
        <v>500</v>
      </c>
    </row>
    <row r="87" spans="1:23">
      <c r="A87" s="60" t="s">
        <v>106</v>
      </c>
      <c r="B87" s="1" t="s">
        <v>91</v>
      </c>
      <c r="C87" s="1" t="s">
        <v>111</v>
      </c>
      <c r="D87" s="3">
        <v>1</v>
      </c>
      <c r="E87" s="4" t="s">
        <v>130</v>
      </c>
      <c r="F87" s="5" t="s">
        <v>29</v>
      </c>
      <c r="G87" s="6">
        <v>4</v>
      </c>
      <c r="H87" s="6" t="s">
        <v>131</v>
      </c>
      <c r="I87" s="23">
        <v>27000</v>
      </c>
      <c r="J87" s="23">
        <f t="shared" si="30"/>
        <v>108</v>
      </c>
      <c r="K87" s="100" t="s">
        <v>527</v>
      </c>
      <c r="L87" s="24"/>
      <c r="M87" s="24"/>
      <c r="N87" s="24"/>
      <c r="O87" s="8"/>
      <c r="P87" s="8">
        <f t="shared" si="31"/>
        <v>54</v>
      </c>
      <c r="Q87" s="8">
        <f t="shared" si="31"/>
        <v>54</v>
      </c>
      <c r="R87" s="8"/>
      <c r="S87" s="24"/>
      <c r="T87" s="8"/>
      <c r="U87" s="63" t="s">
        <v>231</v>
      </c>
      <c r="V87" s="61">
        <f t="shared" si="29"/>
        <v>0</v>
      </c>
      <c r="W87" s="110" t="s">
        <v>500</v>
      </c>
    </row>
    <row r="88" spans="1:23">
      <c r="A88" s="60" t="s">
        <v>106</v>
      </c>
      <c r="B88" s="1" t="s">
        <v>91</v>
      </c>
      <c r="C88" s="1" t="s">
        <v>111</v>
      </c>
      <c r="D88" s="3">
        <v>2</v>
      </c>
      <c r="E88" s="4" t="s">
        <v>132</v>
      </c>
      <c r="F88" s="5" t="s">
        <v>29</v>
      </c>
      <c r="G88" s="6">
        <v>4</v>
      </c>
      <c r="H88" s="6" t="s">
        <v>131</v>
      </c>
      <c r="I88" s="23">
        <v>27000</v>
      </c>
      <c r="J88" s="23">
        <f t="shared" si="30"/>
        <v>108</v>
      </c>
      <c r="K88" s="100" t="s">
        <v>527</v>
      </c>
      <c r="L88" s="24"/>
      <c r="M88" s="24"/>
      <c r="N88" s="24"/>
      <c r="O88" s="8"/>
      <c r="P88" s="8"/>
      <c r="Q88" s="8">
        <f>$J88/2</f>
        <v>54</v>
      </c>
      <c r="R88" s="8">
        <f>$J88/2</f>
        <v>54</v>
      </c>
      <c r="S88" s="24"/>
      <c r="T88" s="8"/>
      <c r="U88" s="63" t="s">
        <v>231</v>
      </c>
      <c r="V88" s="61">
        <f t="shared" si="29"/>
        <v>0</v>
      </c>
      <c r="W88" s="110" t="s">
        <v>500</v>
      </c>
    </row>
    <row r="89" spans="1:23">
      <c r="A89" s="2"/>
      <c r="B89" s="1"/>
      <c r="C89" s="1"/>
      <c r="D89" s="3"/>
      <c r="E89" s="4"/>
      <c r="F89" s="5"/>
      <c r="G89" s="6"/>
      <c r="H89" s="6"/>
      <c r="I89" s="23"/>
      <c r="J89" s="23" t="s">
        <v>0</v>
      </c>
      <c r="K89" s="2"/>
      <c r="L89" s="24"/>
      <c r="M89" s="24"/>
      <c r="N89" s="24"/>
      <c r="O89" s="8"/>
      <c r="P89" s="8"/>
      <c r="Q89" s="8"/>
      <c r="R89" s="8"/>
      <c r="S89" s="24"/>
      <c r="T89" s="8"/>
      <c r="U89" s="24"/>
      <c r="V89" s="8"/>
      <c r="W89" s="110" t="s">
        <v>0</v>
      </c>
    </row>
    <row r="90" spans="1:23">
      <c r="A90" s="15"/>
      <c r="B90" s="1"/>
      <c r="C90" s="16" t="s">
        <v>133</v>
      </c>
      <c r="D90" s="3"/>
      <c r="E90" s="57">
        <f>SUM(J91:J103)</f>
        <v>1853.8443</v>
      </c>
      <c r="F90" s="5"/>
      <c r="G90" s="6"/>
      <c r="H90" s="6"/>
      <c r="I90" s="23"/>
      <c r="J90" s="23"/>
      <c r="K90" s="31"/>
      <c r="L90" s="24"/>
      <c r="M90" s="24"/>
      <c r="N90" s="24"/>
      <c r="O90" s="8"/>
      <c r="P90" s="8"/>
      <c r="Q90" s="8"/>
      <c r="R90" s="8"/>
      <c r="S90" s="24"/>
      <c r="T90" s="8"/>
      <c r="U90" s="24"/>
      <c r="V90" s="8"/>
      <c r="W90" s="110" t="s">
        <v>0</v>
      </c>
    </row>
    <row r="91" spans="1:23">
      <c r="A91" s="60" t="s">
        <v>106</v>
      </c>
      <c r="B91" s="1" t="s">
        <v>110</v>
      </c>
      <c r="C91" s="1" t="s">
        <v>133</v>
      </c>
      <c r="D91" s="3" t="s">
        <v>112</v>
      </c>
      <c r="E91" s="4" t="s">
        <v>134</v>
      </c>
      <c r="F91" s="5" t="s">
        <v>29</v>
      </c>
      <c r="G91" s="6">
        <v>1</v>
      </c>
      <c r="H91" s="6" t="s">
        <v>135</v>
      </c>
      <c r="I91" s="23">
        <v>119233</v>
      </c>
      <c r="J91" s="23">
        <f t="shared" ref="J91:J97" si="32">G91*I91*1.3/1000</f>
        <v>155.00289999999998</v>
      </c>
      <c r="K91" s="100" t="s">
        <v>491</v>
      </c>
      <c r="L91" s="24"/>
      <c r="M91" s="24"/>
      <c r="N91" s="24"/>
      <c r="O91" s="8">
        <f t="shared" ref="O91:O96" si="33">J91*0.6</f>
        <v>93.001739999999984</v>
      </c>
      <c r="P91" s="8">
        <f t="shared" ref="P91:P96" si="34">J91*0.4</f>
        <v>62.001159999999999</v>
      </c>
      <c r="Q91" s="8"/>
      <c r="R91" s="8"/>
      <c r="S91" s="24"/>
      <c r="T91" s="8"/>
      <c r="U91" s="63" t="s">
        <v>231</v>
      </c>
      <c r="V91" s="61">
        <f t="shared" ref="V91:V103" si="35">SUM(L91:T91)-J91</f>
        <v>0</v>
      </c>
      <c r="W91" s="110" t="s">
        <v>500</v>
      </c>
    </row>
    <row r="92" spans="1:23" ht="31.5">
      <c r="A92" s="60" t="s">
        <v>106</v>
      </c>
      <c r="B92" s="1" t="s">
        <v>110</v>
      </c>
      <c r="C92" s="1" t="s">
        <v>133</v>
      </c>
      <c r="D92" s="3" t="s">
        <v>112</v>
      </c>
      <c r="E92" s="4" t="s">
        <v>136</v>
      </c>
      <c r="F92" s="5" t="s">
        <v>29</v>
      </c>
      <c r="G92" s="6">
        <v>6</v>
      </c>
      <c r="H92" s="6" t="s">
        <v>137</v>
      </c>
      <c r="I92" s="23">
        <v>18000</v>
      </c>
      <c r="J92" s="23">
        <f t="shared" si="32"/>
        <v>140.4</v>
      </c>
      <c r="K92" s="100" t="s">
        <v>492</v>
      </c>
      <c r="L92" s="24"/>
      <c r="M92" s="24"/>
      <c r="N92" s="24"/>
      <c r="O92" s="8">
        <f t="shared" si="33"/>
        <v>84.24</v>
      </c>
      <c r="P92" s="8">
        <f t="shared" si="34"/>
        <v>56.160000000000004</v>
      </c>
      <c r="Q92" s="8"/>
      <c r="R92" s="8"/>
      <c r="S92" s="24"/>
      <c r="T92" s="8"/>
      <c r="U92" s="63" t="s">
        <v>231</v>
      </c>
      <c r="V92" s="61">
        <f t="shared" si="35"/>
        <v>0</v>
      </c>
      <c r="W92" s="110" t="s">
        <v>500</v>
      </c>
    </row>
    <row r="93" spans="1:23" ht="31.5">
      <c r="A93" s="60" t="s">
        <v>106</v>
      </c>
      <c r="B93" s="1" t="s">
        <v>110</v>
      </c>
      <c r="C93" s="1" t="s">
        <v>133</v>
      </c>
      <c r="D93" s="3" t="s">
        <v>112</v>
      </c>
      <c r="E93" s="4" t="s">
        <v>138</v>
      </c>
      <c r="F93" s="5" t="s">
        <v>29</v>
      </c>
      <c r="G93" s="6">
        <v>1</v>
      </c>
      <c r="H93" s="6" t="s">
        <v>139</v>
      </c>
      <c r="I93" s="23">
        <v>73000</v>
      </c>
      <c r="J93" s="23">
        <f t="shared" si="32"/>
        <v>94.9</v>
      </c>
      <c r="K93" s="100" t="s">
        <v>446</v>
      </c>
      <c r="L93" s="24"/>
      <c r="M93" s="24"/>
      <c r="N93" s="24"/>
      <c r="O93" s="8">
        <f t="shared" si="33"/>
        <v>56.940000000000005</v>
      </c>
      <c r="P93" s="8">
        <f t="shared" si="34"/>
        <v>37.96</v>
      </c>
      <c r="Q93" s="8"/>
      <c r="R93" s="8"/>
      <c r="S93" s="24"/>
      <c r="T93" s="8"/>
      <c r="U93" s="63" t="s">
        <v>231</v>
      </c>
      <c r="V93" s="61">
        <f t="shared" si="35"/>
        <v>0</v>
      </c>
      <c r="W93" s="110" t="s">
        <v>500</v>
      </c>
    </row>
    <row r="94" spans="1:23">
      <c r="A94" s="60" t="s">
        <v>106</v>
      </c>
      <c r="B94" s="1" t="s">
        <v>110</v>
      </c>
      <c r="C94" s="1" t="s">
        <v>133</v>
      </c>
      <c r="D94" s="3" t="s">
        <v>112</v>
      </c>
      <c r="E94" s="76" t="s">
        <v>447</v>
      </c>
      <c r="F94" s="5" t="s">
        <v>29</v>
      </c>
      <c r="G94" s="6">
        <v>2</v>
      </c>
      <c r="H94" s="77" t="s">
        <v>451</v>
      </c>
      <c r="I94" s="23">
        <v>72000</v>
      </c>
      <c r="J94" s="23">
        <f t="shared" si="32"/>
        <v>187.2</v>
      </c>
      <c r="K94" s="100" t="s">
        <v>493</v>
      </c>
      <c r="L94" s="24"/>
      <c r="M94" s="24"/>
      <c r="N94" s="24"/>
      <c r="O94" s="8">
        <f t="shared" si="33"/>
        <v>112.32</v>
      </c>
      <c r="P94" s="8">
        <f t="shared" si="34"/>
        <v>74.88</v>
      </c>
      <c r="Q94" s="8"/>
      <c r="R94" s="8"/>
      <c r="S94" s="24"/>
      <c r="T94" s="8"/>
      <c r="U94" s="63" t="s">
        <v>231</v>
      </c>
      <c r="V94" s="61">
        <f t="shared" si="35"/>
        <v>0</v>
      </c>
      <c r="W94" s="110" t="s">
        <v>500</v>
      </c>
    </row>
    <row r="95" spans="1:23">
      <c r="A95" s="60" t="s">
        <v>106</v>
      </c>
      <c r="B95" s="1" t="s">
        <v>110</v>
      </c>
      <c r="C95" s="1" t="s">
        <v>133</v>
      </c>
      <c r="D95" s="3" t="s">
        <v>112</v>
      </c>
      <c r="E95" s="76" t="s">
        <v>448</v>
      </c>
      <c r="F95" s="5" t="s">
        <v>29</v>
      </c>
      <c r="G95" s="6">
        <v>5.5</v>
      </c>
      <c r="H95" s="77" t="s">
        <v>451</v>
      </c>
      <c r="I95" s="23">
        <v>42000</v>
      </c>
      <c r="J95" s="23">
        <f t="shared" si="32"/>
        <v>300.3</v>
      </c>
      <c r="K95" s="100" t="s">
        <v>332</v>
      </c>
      <c r="L95" s="24"/>
      <c r="M95" s="24"/>
      <c r="N95" s="24"/>
      <c r="O95" s="8">
        <f t="shared" si="33"/>
        <v>180.18</v>
      </c>
      <c r="P95" s="8">
        <f t="shared" si="34"/>
        <v>120.12</v>
      </c>
      <c r="Q95" s="8"/>
      <c r="R95" s="8"/>
      <c r="S95" s="24"/>
      <c r="T95" s="8"/>
      <c r="U95" s="63" t="s">
        <v>231</v>
      </c>
      <c r="V95" s="61">
        <f t="shared" si="35"/>
        <v>0</v>
      </c>
      <c r="W95" s="110" t="s">
        <v>500</v>
      </c>
    </row>
    <row r="96" spans="1:23">
      <c r="A96" s="60" t="s">
        <v>106</v>
      </c>
      <c r="B96" s="1" t="s">
        <v>110</v>
      </c>
      <c r="C96" s="1" t="s">
        <v>133</v>
      </c>
      <c r="D96" s="3" t="s">
        <v>112</v>
      </c>
      <c r="E96" s="76" t="s">
        <v>449</v>
      </c>
      <c r="F96" s="5" t="s">
        <v>29</v>
      </c>
      <c r="G96" s="6">
        <v>1</v>
      </c>
      <c r="H96" s="77" t="s">
        <v>452</v>
      </c>
      <c r="I96" s="23">
        <v>100000</v>
      </c>
      <c r="J96" s="23">
        <f t="shared" si="32"/>
        <v>130</v>
      </c>
      <c r="K96" s="100" t="s">
        <v>495</v>
      </c>
      <c r="L96" s="24"/>
      <c r="M96" s="24"/>
      <c r="N96" s="24"/>
      <c r="O96" s="8">
        <f t="shared" si="33"/>
        <v>78</v>
      </c>
      <c r="P96" s="8">
        <f t="shared" si="34"/>
        <v>52</v>
      </c>
      <c r="Q96" s="8"/>
      <c r="R96" s="8"/>
      <c r="S96" s="24"/>
      <c r="T96" s="8"/>
      <c r="U96" s="63" t="s">
        <v>231</v>
      </c>
      <c r="V96" s="61">
        <f t="shared" si="35"/>
        <v>0</v>
      </c>
      <c r="W96" s="110" t="s">
        <v>500</v>
      </c>
    </row>
    <row r="97" spans="1:23">
      <c r="A97" s="60" t="s">
        <v>106</v>
      </c>
      <c r="B97" s="1" t="s">
        <v>110</v>
      </c>
      <c r="C97" s="1" t="s">
        <v>133</v>
      </c>
      <c r="D97" s="3" t="s">
        <v>112</v>
      </c>
      <c r="E97" s="76" t="s">
        <v>450</v>
      </c>
      <c r="F97" s="5" t="s">
        <v>29</v>
      </c>
      <c r="G97" s="6">
        <v>1</v>
      </c>
      <c r="H97" s="77" t="s">
        <v>452</v>
      </c>
      <c r="I97" s="23">
        <v>19000</v>
      </c>
      <c r="J97" s="23">
        <f t="shared" si="32"/>
        <v>24.7</v>
      </c>
      <c r="K97" s="100" t="s">
        <v>494</v>
      </c>
      <c r="L97" s="24"/>
      <c r="M97" s="24"/>
      <c r="N97" s="24"/>
      <c r="O97" s="8">
        <f>J97*0.3</f>
        <v>7.4099999999999993</v>
      </c>
      <c r="P97" s="8">
        <f>J97*0.3</f>
        <v>7.4099999999999993</v>
      </c>
      <c r="Q97" s="8">
        <f>J97*0.2</f>
        <v>4.9400000000000004</v>
      </c>
      <c r="R97" s="8">
        <f>J97*0.2</f>
        <v>4.9400000000000004</v>
      </c>
      <c r="S97" s="24"/>
      <c r="T97" s="8"/>
      <c r="U97" s="63" t="s">
        <v>231</v>
      </c>
      <c r="V97" s="61">
        <f t="shared" si="35"/>
        <v>0</v>
      </c>
      <c r="W97" s="110" t="s">
        <v>500</v>
      </c>
    </row>
    <row r="98" spans="1:23" s="121" customFormat="1">
      <c r="A98" s="60" t="s">
        <v>106</v>
      </c>
      <c r="B98" s="120" t="s">
        <v>110</v>
      </c>
      <c r="C98" s="120" t="s">
        <v>133</v>
      </c>
      <c r="D98" s="3" t="s">
        <v>112</v>
      </c>
      <c r="E98" s="4" t="s">
        <v>141</v>
      </c>
      <c r="F98" s="5" t="s">
        <v>29</v>
      </c>
      <c r="G98" s="6">
        <v>4</v>
      </c>
      <c r="H98" s="6" t="s">
        <v>142</v>
      </c>
      <c r="I98" s="23">
        <v>25000</v>
      </c>
      <c r="J98" s="23">
        <f>G98*I98*1/1000</f>
        <v>100</v>
      </c>
      <c r="K98" s="100" t="s">
        <v>333</v>
      </c>
      <c r="L98" s="122"/>
      <c r="M98" s="122"/>
      <c r="N98" s="122"/>
      <c r="O98" s="8">
        <f>J98*0.3</f>
        <v>30</v>
      </c>
      <c r="P98" s="8">
        <f>J98*0.3</f>
        <v>30</v>
      </c>
      <c r="Q98" s="8">
        <f>J98*0.2</f>
        <v>20</v>
      </c>
      <c r="R98" s="8">
        <f>J98*0.2</f>
        <v>20</v>
      </c>
      <c r="S98" s="122"/>
      <c r="T98" s="8"/>
      <c r="U98" s="63" t="s">
        <v>231</v>
      </c>
      <c r="V98" s="61">
        <f t="shared" si="35"/>
        <v>0</v>
      </c>
      <c r="W98" s="110" t="s">
        <v>500</v>
      </c>
    </row>
    <row r="99" spans="1:23" s="121" customFormat="1" ht="47.25">
      <c r="A99" s="60" t="s">
        <v>106</v>
      </c>
      <c r="B99" s="120" t="s">
        <v>110</v>
      </c>
      <c r="C99" s="120" t="s">
        <v>133</v>
      </c>
      <c r="D99" s="3" t="s">
        <v>112</v>
      </c>
      <c r="E99" s="4" t="s">
        <v>143</v>
      </c>
      <c r="F99" s="5" t="s">
        <v>29</v>
      </c>
      <c r="G99" s="6">
        <v>1</v>
      </c>
      <c r="H99" s="6" t="s">
        <v>142</v>
      </c>
      <c r="I99" s="78">
        <v>104880</v>
      </c>
      <c r="J99" s="23">
        <f>G99*I99*1.3/1000</f>
        <v>136.34399999999999</v>
      </c>
      <c r="K99" s="100" t="s">
        <v>497</v>
      </c>
      <c r="L99" s="122"/>
      <c r="M99" s="122"/>
      <c r="N99" s="122"/>
      <c r="O99" s="8">
        <f t="shared" ref="O99:O103" si="36">J99*0.6</f>
        <v>81.806399999999996</v>
      </c>
      <c r="P99" s="8">
        <f t="shared" ref="P99:P103" si="37">J99*0.4</f>
        <v>54.537599999999998</v>
      </c>
      <c r="Q99" s="8"/>
      <c r="R99" s="8"/>
      <c r="S99" s="122"/>
      <c r="T99" s="8"/>
      <c r="U99" s="63" t="s">
        <v>231</v>
      </c>
      <c r="V99" s="61">
        <f t="shared" si="35"/>
        <v>0</v>
      </c>
      <c r="W99" s="110" t="s">
        <v>500</v>
      </c>
    </row>
    <row r="100" spans="1:23" s="121" customFormat="1">
      <c r="A100" s="60" t="s">
        <v>106</v>
      </c>
      <c r="B100" s="120" t="s">
        <v>110</v>
      </c>
      <c r="C100" s="120" t="s">
        <v>133</v>
      </c>
      <c r="D100" s="3" t="s">
        <v>112</v>
      </c>
      <c r="E100" s="4" t="s">
        <v>334</v>
      </c>
      <c r="F100" s="5" t="s">
        <v>29</v>
      </c>
      <c r="G100" s="6">
        <v>12</v>
      </c>
      <c r="H100" s="6" t="s">
        <v>453</v>
      </c>
      <c r="I100" s="78">
        <v>30000</v>
      </c>
      <c r="J100" s="23">
        <f>G100*I100*1.3/1000</f>
        <v>468</v>
      </c>
      <c r="K100" s="143" t="s">
        <v>458</v>
      </c>
      <c r="L100" s="122"/>
      <c r="M100" s="122"/>
      <c r="N100" s="122"/>
      <c r="O100" s="8">
        <f t="shared" si="36"/>
        <v>280.8</v>
      </c>
      <c r="P100" s="8">
        <f t="shared" si="37"/>
        <v>187.20000000000002</v>
      </c>
      <c r="Q100" s="8"/>
      <c r="R100" s="8"/>
      <c r="S100" s="122"/>
      <c r="T100" s="8"/>
      <c r="U100" s="63" t="s">
        <v>231</v>
      </c>
      <c r="V100" s="61">
        <f t="shared" si="35"/>
        <v>0</v>
      </c>
      <c r="W100" s="110" t="s">
        <v>500</v>
      </c>
    </row>
    <row r="101" spans="1:23" s="121" customFormat="1">
      <c r="A101" s="60" t="s">
        <v>106</v>
      </c>
      <c r="B101" s="120" t="s">
        <v>110</v>
      </c>
      <c r="C101" s="120" t="s">
        <v>133</v>
      </c>
      <c r="D101" s="3" t="s">
        <v>112</v>
      </c>
      <c r="E101" s="4" t="s">
        <v>454</v>
      </c>
      <c r="F101" s="5" t="s">
        <v>29</v>
      </c>
      <c r="G101" s="6">
        <v>1</v>
      </c>
      <c r="H101" s="6" t="s">
        <v>455</v>
      </c>
      <c r="I101" s="78">
        <v>52000</v>
      </c>
      <c r="J101" s="23">
        <f>G101*I101*1.3/1000</f>
        <v>67.599999999999994</v>
      </c>
      <c r="K101" s="143" t="s">
        <v>459</v>
      </c>
      <c r="L101" s="122"/>
      <c r="M101" s="122"/>
      <c r="N101" s="122"/>
      <c r="O101" s="8">
        <f t="shared" si="36"/>
        <v>40.559999999999995</v>
      </c>
      <c r="P101" s="8">
        <f t="shared" si="37"/>
        <v>27.04</v>
      </c>
      <c r="Q101" s="8"/>
      <c r="R101" s="8"/>
      <c r="S101" s="122"/>
      <c r="T101" s="8"/>
      <c r="U101" s="63" t="s">
        <v>231</v>
      </c>
      <c r="V101" s="61">
        <f t="shared" si="35"/>
        <v>0</v>
      </c>
      <c r="W101" s="110" t="s">
        <v>500</v>
      </c>
    </row>
    <row r="102" spans="1:23" s="121" customFormat="1" ht="31.5">
      <c r="A102" s="60" t="s">
        <v>106</v>
      </c>
      <c r="B102" s="120" t="s">
        <v>110</v>
      </c>
      <c r="C102" s="120" t="s">
        <v>133</v>
      </c>
      <c r="D102" s="3" t="s">
        <v>112</v>
      </c>
      <c r="E102" s="4" t="s">
        <v>456</v>
      </c>
      <c r="F102" s="5" t="s">
        <v>29</v>
      </c>
      <c r="G102" s="6">
        <v>1</v>
      </c>
      <c r="H102" s="6" t="s">
        <v>455</v>
      </c>
      <c r="I102" s="78">
        <v>30000</v>
      </c>
      <c r="J102" s="23">
        <f>G102*I102*1.3/1000</f>
        <v>39</v>
      </c>
      <c r="K102" s="143" t="s">
        <v>496</v>
      </c>
      <c r="L102" s="122"/>
      <c r="M102" s="122"/>
      <c r="N102" s="122"/>
      <c r="O102" s="8">
        <f t="shared" si="36"/>
        <v>23.4</v>
      </c>
      <c r="P102" s="8">
        <f t="shared" si="37"/>
        <v>15.600000000000001</v>
      </c>
      <c r="Q102" s="8"/>
      <c r="R102" s="8"/>
      <c r="S102" s="122"/>
      <c r="T102" s="8"/>
      <c r="U102" s="63" t="s">
        <v>231</v>
      </c>
      <c r="V102" s="61">
        <f t="shared" si="35"/>
        <v>0</v>
      </c>
      <c r="W102" s="110" t="s">
        <v>500</v>
      </c>
    </row>
    <row r="103" spans="1:23" s="121" customFormat="1">
      <c r="A103" s="60" t="s">
        <v>106</v>
      </c>
      <c r="B103" s="120" t="s">
        <v>110</v>
      </c>
      <c r="C103" s="120" t="s">
        <v>133</v>
      </c>
      <c r="D103" s="3" t="s">
        <v>112</v>
      </c>
      <c r="E103" s="4" t="s">
        <v>457</v>
      </c>
      <c r="F103" s="5" t="s">
        <v>29</v>
      </c>
      <c r="G103" s="6">
        <v>6</v>
      </c>
      <c r="H103" s="6" t="s">
        <v>455</v>
      </c>
      <c r="I103" s="78">
        <v>1333</v>
      </c>
      <c r="J103" s="23">
        <f>G103*I103*1.3/1000</f>
        <v>10.397399999999999</v>
      </c>
      <c r="K103" s="151" t="s">
        <v>460</v>
      </c>
      <c r="L103" s="122"/>
      <c r="M103" s="122"/>
      <c r="N103" s="122"/>
      <c r="O103" s="8">
        <f t="shared" si="36"/>
        <v>6.2384399999999998</v>
      </c>
      <c r="P103" s="8">
        <f t="shared" si="37"/>
        <v>4.1589599999999995</v>
      </c>
      <c r="Q103" s="8"/>
      <c r="R103" s="8"/>
      <c r="S103" s="122"/>
      <c r="T103" s="8"/>
      <c r="U103" s="63" t="s">
        <v>231</v>
      </c>
      <c r="V103" s="61">
        <f t="shared" si="35"/>
        <v>0</v>
      </c>
      <c r="W103" s="110" t="s">
        <v>500</v>
      </c>
    </row>
    <row r="104" spans="1:23">
      <c r="A104" s="2"/>
      <c r="B104" s="1"/>
      <c r="C104" s="1"/>
      <c r="D104" s="3"/>
      <c r="E104" s="4"/>
      <c r="F104" s="5"/>
      <c r="G104" s="6"/>
      <c r="H104" s="6"/>
      <c r="I104" s="23"/>
      <c r="J104" s="23"/>
      <c r="K104" s="2"/>
      <c r="L104" s="24"/>
      <c r="M104" s="24"/>
      <c r="N104" s="24"/>
      <c r="O104" s="8"/>
      <c r="P104" s="8"/>
      <c r="Q104" s="8"/>
      <c r="R104" s="8"/>
      <c r="S104" s="24"/>
      <c r="T104" s="8"/>
      <c r="U104" s="24"/>
      <c r="V104" s="8"/>
      <c r="W104" s="110" t="s">
        <v>0</v>
      </c>
    </row>
    <row r="105" spans="1:23">
      <c r="A105" s="15"/>
      <c r="B105" s="16"/>
      <c r="C105" s="16" t="s">
        <v>144</v>
      </c>
      <c r="D105" s="3"/>
      <c r="E105" s="57">
        <f>J132+J139+J140+J141</f>
        <v>566.35474999999997</v>
      </c>
      <c r="F105" s="5"/>
      <c r="G105" s="6"/>
      <c r="H105" s="6"/>
      <c r="I105" s="23"/>
      <c r="J105" s="23"/>
      <c r="K105" s="21">
        <f>SUM(J106:J141)-E105</f>
        <v>9520.554272000003</v>
      </c>
      <c r="L105" s="24"/>
      <c r="M105" s="24"/>
      <c r="N105" s="24"/>
      <c r="O105" s="8"/>
      <c r="P105" s="8"/>
      <c r="Q105" s="8"/>
      <c r="R105" s="8"/>
      <c r="S105" s="24"/>
      <c r="T105" s="8"/>
      <c r="U105" s="24"/>
      <c r="V105" s="8"/>
      <c r="W105" s="110" t="s">
        <v>0</v>
      </c>
    </row>
    <row r="106" spans="1:23" ht="47.25">
      <c r="A106" s="60" t="s">
        <v>81</v>
      </c>
      <c r="B106" s="1" t="s">
        <v>26</v>
      </c>
      <c r="C106" s="1" t="s">
        <v>144</v>
      </c>
      <c r="D106" s="3">
        <v>1</v>
      </c>
      <c r="E106" s="4" t="s">
        <v>145</v>
      </c>
      <c r="F106" s="5" t="s">
        <v>29</v>
      </c>
      <c r="G106" s="50">
        <v>1</v>
      </c>
      <c r="H106" s="50" t="s">
        <v>466</v>
      </c>
      <c r="I106" s="51">
        <v>172377</v>
      </c>
      <c r="J106" s="51">
        <f>I106*G106*1.3/1000</f>
        <v>224.09010000000001</v>
      </c>
      <c r="K106" s="36" t="s">
        <v>470</v>
      </c>
      <c r="L106" s="24"/>
      <c r="M106" s="24"/>
      <c r="N106" s="24"/>
      <c r="O106" s="8">
        <f>J106*0.6</f>
        <v>134.45406</v>
      </c>
      <c r="P106" s="8">
        <f>J106*0.4</f>
        <v>89.636040000000008</v>
      </c>
      <c r="Q106" s="8"/>
      <c r="R106" s="8"/>
      <c r="S106" s="24"/>
      <c r="T106" s="8"/>
      <c r="U106" s="24" t="s">
        <v>236</v>
      </c>
      <c r="V106" s="61">
        <f t="shared" ref="V106:V111" si="38">SUM(L106:T106)-J106</f>
        <v>0</v>
      </c>
      <c r="W106" s="110" t="s">
        <v>500</v>
      </c>
    </row>
    <row r="107" spans="1:23" ht="31.5">
      <c r="A107" s="60" t="s">
        <v>81</v>
      </c>
      <c r="B107" s="1" t="s">
        <v>26</v>
      </c>
      <c r="C107" s="1" t="s">
        <v>144</v>
      </c>
      <c r="D107" s="3">
        <v>1</v>
      </c>
      <c r="E107" s="4" t="s">
        <v>146</v>
      </c>
      <c r="F107" s="5" t="s">
        <v>29</v>
      </c>
      <c r="G107" s="50">
        <v>1</v>
      </c>
      <c r="H107" s="50" t="s">
        <v>471</v>
      </c>
      <c r="I107" s="51">
        <f>1300*80</f>
        <v>104000</v>
      </c>
      <c r="J107" s="51">
        <f>I107*G107*1.3/1000</f>
        <v>135.19999999999999</v>
      </c>
      <c r="K107" s="36" t="s">
        <v>472</v>
      </c>
      <c r="L107" s="24"/>
      <c r="M107" s="24"/>
      <c r="N107" s="24"/>
      <c r="O107" s="8">
        <f>J107*0.6</f>
        <v>81.11999999999999</v>
      </c>
      <c r="P107" s="8">
        <f>J107*0.4</f>
        <v>54.08</v>
      </c>
      <c r="Q107" s="8"/>
      <c r="R107" s="8"/>
      <c r="S107" s="24"/>
      <c r="T107" s="8"/>
      <c r="U107" s="24" t="s">
        <v>236</v>
      </c>
      <c r="V107" s="61">
        <f t="shared" si="38"/>
        <v>0</v>
      </c>
      <c r="W107" s="110" t="s">
        <v>500</v>
      </c>
    </row>
    <row r="108" spans="1:23" ht="31.5">
      <c r="A108" s="60" t="s">
        <v>81</v>
      </c>
      <c r="B108" s="1" t="s">
        <v>26</v>
      </c>
      <c r="C108" s="1" t="s">
        <v>144</v>
      </c>
      <c r="D108" s="3">
        <v>1</v>
      </c>
      <c r="E108" s="4" t="s">
        <v>147</v>
      </c>
      <c r="F108" s="5" t="s">
        <v>29</v>
      </c>
      <c r="G108" s="50">
        <v>6</v>
      </c>
      <c r="H108" s="50" t="s">
        <v>276</v>
      </c>
      <c r="I108" s="51">
        <v>1300</v>
      </c>
      <c r="J108" s="51">
        <f>I108*G108*1.3/1000</f>
        <v>10.14</v>
      </c>
      <c r="K108" s="36" t="s">
        <v>473</v>
      </c>
      <c r="L108" s="24"/>
      <c r="M108" s="24"/>
      <c r="N108" s="24"/>
      <c r="O108" s="8">
        <f>J108*0.6</f>
        <v>6.0840000000000005</v>
      </c>
      <c r="P108" s="8">
        <f>J108*0.4</f>
        <v>4.056</v>
      </c>
      <c r="Q108" s="8"/>
      <c r="R108" s="8"/>
      <c r="S108" s="24"/>
      <c r="T108" s="8"/>
      <c r="U108" s="24" t="s">
        <v>236</v>
      </c>
      <c r="V108" s="61">
        <f t="shared" si="38"/>
        <v>0</v>
      </c>
      <c r="W108" s="110" t="s">
        <v>500</v>
      </c>
    </row>
    <row r="109" spans="1:23" ht="78.75">
      <c r="A109" s="60" t="s">
        <v>151</v>
      </c>
      <c r="B109" s="72" t="s">
        <v>26</v>
      </c>
      <c r="C109" s="72" t="s">
        <v>144</v>
      </c>
      <c r="D109" s="3">
        <v>1</v>
      </c>
      <c r="E109" s="4" t="s">
        <v>148</v>
      </c>
      <c r="F109" s="5" t="s">
        <v>29</v>
      </c>
      <c r="G109" s="50">
        <v>1</v>
      </c>
      <c r="H109" s="50" t="s">
        <v>86</v>
      </c>
      <c r="I109" s="51">
        <v>377261</v>
      </c>
      <c r="J109" s="51">
        <f>I109*G109*1.3/1000</f>
        <v>490.4393</v>
      </c>
      <c r="K109" s="36" t="s">
        <v>279</v>
      </c>
      <c r="L109" s="24"/>
      <c r="M109" s="24"/>
      <c r="N109" s="24"/>
      <c r="O109" s="8">
        <f>J109*0.6</f>
        <v>294.26357999999999</v>
      </c>
      <c r="P109" s="8">
        <f>J109*0.4</f>
        <v>196.17572000000001</v>
      </c>
      <c r="Q109" s="8"/>
      <c r="R109" s="8"/>
      <c r="S109" s="24"/>
      <c r="T109" s="8"/>
      <c r="U109" s="24" t="s">
        <v>236</v>
      </c>
      <c r="V109" s="61">
        <f t="shared" si="38"/>
        <v>0</v>
      </c>
      <c r="W109" s="110" t="s">
        <v>500</v>
      </c>
    </row>
    <row r="110" spans="1:23" ht="31.5">
      <c r="A110" s="60" t="s">
        <v>81</v>
      </c>
      <c r="B110" s="1" t="s">
        <v>26</v>
      </c>
      <c r="C110" s="1" t="s">
        <v>144</v>
      </c>
      <c r="D110" s="3">
        <v>1</v>
      </c>
      <c r="E110" s="4" t="s">
        <v>150</v>
      </c>
      <c r="F110" s="5" t="s">
        <v>29</v>
      </c>
      <c r="G110" s="50">
        <v>1</v>
      </c>
      <c r="H110" s="50" t="s">
        <v>466</v>
      </c>
      <c r="I110" s="51">
        <v>62900</v>
      </c>
      <c r="J110" s="51">
        <f>I110*G110*1.3/1000</f>
        <v>81.77</v>
      </c>
      <c r="K110" s="125" t="s">
        <v>474</v>
      </c>
      <c r="L110" s="24"/>
      <c r="M110" s="24"/>
      <c r="N110" s="24"/>
      <c r="O110" s="8">
        <f>J110*0.6</f>
        <v>49.061999999999998</v>
      </c>
      <c r="P110" s="8">
        <f>J110*0.4</f>
        <v>32.707999999999998</v>
      </c>
      <c r="Q110" s="8"/>
      <c r="R110" s="8"/>
      <c r="S110" s="24"/>
      <c r="T110" s="8"/>
      <c r="U110" s="24" t="s">
        <v>236</v>
      </c>
      <c r="V110" s="61">
        <f t="shared" si="38"/>
        <v>0</v>
      </c>
      <c r="W110" s="110" t="s">
        <v>500</v>
      </c>
    </row>
    <row r="111" spans="1:23" ht="63">
      <c r="A111" s="60" t="s">
        <v>151</v>
      </c>
      <c r="B111" s="1" t="s">
        <v>149</v>
      </c>
      <c r="C111" s="1" t="s">
        <v>144</v>
      </c>
      <c r="D111" s="3">
        <v>1</v>
      </c>
      <c r="E111" s="4" t="s">
        <v>152</v>
      </c>
      <c r="F111" s="5" t="s">
        <v>29</v>
      </c>
      <c r="G111" s="6">
        <v>1</v>
      </c>
      <c r="H111" s="6" t="s">
        <v>86</v>
      </c>
      <c r="I111" s="23">
        <v>52998</v>
      </c>
      <c r="J111" s="23">
        <f>I111/1000</f>
        <v>52.997999999999998</v>
      </c>
      <c r="K111" s="36" t="s">
        <v>247</v>
      </c>
      <c r="L111" s="24"/>
      <c r="M111" s="24"/>
      <c r="N111" s="24"/>
      <c r="O111" s="8">
        <f>J111</f>
        <v>52.997999999999998</v>
      </c>
      <c r="P111" s="8"/>
      <c r="Q111" s="8"/>
      <c r="R111" s="8"/>
      <c r="S111" s="24"/>
      <c r="T111" s="8"/>
      <c r="U111" s="24" t="s">
        <v>236</v>
      </c>
      <c r="V111" s="61">
        <f t="shared" si="38"/>
        <v>0</v>
      </c>
      <c r="W111" s="110" t="s">
        <v>500</v>
      </c>
    </row>
    <row r="112" spans="1:23" ht="31.5">
      <c r="A112" s="60" t="s">
        <v>81</v>
      </c>
      <c r="B112" s="1" t="s">
        <v>26</v>
      </c>
      <c r="C112" s="1" t="s">
        <v>144</v>
      </c>
      <c r="D112" s="3">
        <v>1</v>
      </c>
      <c r="E112" s="4" t="s">
        <v>153</v>
      </c>
      <c r="F112" s="5" t="s">
        <v>29</v>
      </c>
      <c r="G112" s="50">
        <v>1</v>
      </c>
      <c r="H112" s="50" t="s">
        <v>154</v>
      </c>
      <c r="I112" s="51">
        <v>69000</v>
      </c>
      <c r="J112" s="51">
        <f>I112*G112*1.3/1000</f>
        <v>89.7</v>
      </c>
      <c r="K112" s="33" t="s">
        <v>277</v>
      </c>
      <c r="L112" s="24"/>
      <c r="M112" s="24"/>
      <c r="N112" s="24"/>
      <c r="O112" s="8">
        <f>J112*0.6</f>
        <v>53.82</v>
      </c>
      <c r="P112" s="8">
        <f>J112*0.4</f>
        <v>35.880000000000003</v>
      </c>
      <c r="Q112" s="8"/>
      <c r="R112" s="8"/>
      <c r="S112" s="24"/>
      <c r="T112" s="8"/>
      <c r="U112" s="24" t="s">
        <v>236</v>
      </c>
      <c r="V112" s="61">
        <f t="shared" ref="V112" si="39">SUM(L112:T112)-J112</f>
        <v>0</v>
      </c>
      <c r="W112" s="110" t="s">
        <v>500</v>
      </c>
    </row>
    <row r="113" spans="1:25" ht="31.5">
      <c r="A113" s="60" t="s">
        <v>81</v>
      </c>
      <c r="B113" s="69" t="s">
        <v>26</v>
      </c>
      <c r="C113" s="1" t="s">
        <v>144</v>
      </c>
      <c r="D113" s="3">
        <v>1</v>
      </c>
      <c r="E113" s="4" t="s">
        <v>155</v>
      </c>
      <c r="F113" s="5" t="s">
        <v>29</v>
      </c>
      <c r="G113" s="50">
        <v>50</v>
      </c>
      <c r="H113" s="50" t="s">
        <v>40</v>
      </c>
      <c r="I113" s="51">
        <v>349</v>
      </c>
      <c r="J113" s="51">
        <f>I113*G113*1.3/1000</f>
        <v>22.684999999999999</v>
      </c>
      <c r="K113" s="33" t="s">
        <v>278</v>
      </c>
      <c r="L113" s="24"/>
      <c r="M113" s="24"/>
      <c r="N113" s="24"/>
      <c r="O113" s="8">
        <f>J113*0.6</f>
        <v>13.610999999999999</v>
      </c>
      <c r="P113" s="8">
        <f>J113*0.4</f>
        <v>9.0739999999999998</v>
      </c>
      <c r="Q113" s="8"/>
      <c r="R113" s="8"/>
      <c r="S113" s="24"/>
      <c r="T113" s="8"/>
      <c r="U113" s="24" t="s">
        <v>236</v>
      </c>
      <c r="V113" s="61">
        <f t="shared" ref="V113:V141" si="40">SUM(L113:T113)-J113</f>
        <v>0</v>
      </c>
      <c r="W113" s="110" t="s">
        <v>500</v>
      </c>
    </row>
    <row r="114" spans="1:25" s="62" customFormat="1" ht="47.25">
      <c r="A114" s="60" t="s">
        <v>151</v>
      </c>
      <c r="B114" s="66" t="s">
        <v>149</v>
      </c>
      <c r="C114" s="37" t="s">
        <v>144</v>
      </c>
      <c r="D114" s="38">
        <v>1</v>
      </c>
      <c r="E114" s="39" t="s">
        <v>246</v>
      </c>
      <c r="F114" s="40" t="s">
        <v>29</v>
      </c>
      <c r="G114" s="41">
        <v>2</v>
      </c>
      <c r="H114" s="41" t="s">
        <v>154</v>
      </c>
      <c r="I114" s="42">
        <v>56030</v>
      </c>
      <c r="J114" s="42">
        <f>I114*1.3/1000</f>
        <v>72.838999999999999</v>
      </c>
      <c r="K114" s="67" t="s">
        <v>248</v>
      </c>
      <c r="L114" s="24"/>
      <c r="M114" s="24"/>
      <c r="N114" s="24"/>
      <c r="O114" s="8">
        <f>J114</f>
        <v>72.838999999999999</v>
      </c>
      <c r="P114" s="8"/>
      <c r="Q114" s="8"/>
      <c r="R114" s="8"/>
      <c r="S114" s="24"/>
      <c r="T114" s="8"/>
      <c r="U114" s="24" t="s">
        <v>236</v>
      </c>
      <c r="V114" s="61">
        <f t="shared" si="40"/>
        <v>0</v>
      </c>
      <c r="W114" s="110" t="s">
        <v>500</v>
      </c>
      <c r="X114" s="45" t="s">
        <v>0</v>
      </c>
      <c r="Y114" s="8" t="s">
        <v>0</v>
      </c>
    </row>
    <row r="115" spans="1:25" ht="47.25">
      <c r="A115" s="60" t="s">
        <v>151</v>
      </c>
      <c r="B115" s="69" t="s">
        <v>26</v>
      </c>
      <c r="C115" s="1" t="s">
        <v>144</v>
      </c>
      <c r="D115" s="3">
        <v>1</v>
      </c>
      <c r="E115" s="4" t="s">
        <v>156</v>
      </c>
      <c r="F115" s="5" t="s">
        <v>29</v>
      </c>
      <c r="G115" s="6">
        <v>4</v>
      </c>
      <c r="H115" s="6" t="s">
        <v>157</v>
      </c>
      <c r="I115" s="23">
        <v>10450</v>
      </c>
      <c r="J115" s="23">
        <f>I115*G115*1.3/1000</f>
        <v>54.34</v>
      </c>
      <c r="K115" s="125" t="s">
        <v>398</v>
      </c>
      <c r="L115" s="24"/>
      <c r="M115" s="24"/>
      <c r="N115" s="24"/>
      <c r="O115" s="8">
        <f>J115</f>
        <v>54.34</v>
      </c>
      <c r="P115" s="8"/>
      <c r="Q115" s="8"/>
      <c r="R115" s="8"/>
      <c r="S115" s="24"/>
      <c r="T115" s="8"/>
      <c r="U115" s="24" t="s">
        <v>236</v>
      </c>
      <c r="V115" s="61">
        <f t="shared" si="40"/>
        <v>0</v>
      </c>
      <c r="W115" s="110" t="s">
        <v>500</v>
      </c>
    </row>
    <row r="116" spans="1:25" ht="63">
      <c r="A116" s="60" t="s">
        <v>81</v>
      </c>
      <c r="B116" s="1" t="s">
        <v>149</v>
      </c>
      <c r="C116" s="1" t="s">
        <v>144</v>
      </c>
      <c r="D116" s="3">
        <v>1</v>
      </c>
      <c r="E116" s="4" t="s">
        <v>158</v>
      </c>
      <c r="F116" s="5" t="s">
        <v>29</v>
      </c>
      <c r="G116" s="6">
        <v>3</v>
      </c>
      <c r="H116" s="6" t="s">
        <v>159</v>
      </c>
      <c r="I116" s="23">
        <v>177000</v>
      </c>
      <c r="J116" s="23">
        <f>I116*G116*1.3/1000</f>
        <v>690.3</v>
      </c>
      <c r="K116" s="36" t="s">
        <v>378</v>
      </c>
      <c r="L116" s="24"/>
      <c r="M116" s="24"/>
      <c r="N116" s="24"/>
      <c r="O116" s="8">
        <f t="shared" ref="O116:O122" si="41">J116*0.6</f>
        <v>414.17999999999995</v>
      </c>
      <c r="P116" s="8">
        <f t="shared" ref="P116:P122" si="42">J116*0.4</f>
        <v>276.12</v>
      </c>
      <c r="Q116" s="8"/>
      <c r="R116" s="8"/>
      <c r="S116" s="24"/>
      <c r="T116" s="8"/>
      <c r="U116" s="24" t="s">
        <v>236</v>
      </c>
      <c r="V116" s="61">
        <f t="shared" si="40"/>
        <v>0</v>
      </c>
      <c r="W116" s="110" t="s">
        <v>500</v>
      </c>
    </row>
    <row r="117" spans="1:25" ht="78.75">
      <c r="A117" s="60" t="s">
        <v>74</v>
      </c>
      <c r="B117" s="1" t="s">
        <v>149</v>
      </c>
      <c r="C117" s="1" t="s">
        <v>144</v>
      </c>
      <c r="D117" s="3">
        <v>1</v>
      </c>
      <c r="E117" s="4" t="s">
        <v>160</v>
      </c>
      <c r="F117" s="5" t="s">
        <v>29</v>
      </c>
      <c r="G117" s="6">
        <v>1</v>
      </c>
      <c r="H117" s="6" t="s">
        <v>161</v>
      </c>
      <c r="I117" s="51">
        <v>1106000</v>
      </c>
      <c r="J117" s="23">
        <f>I117*G117*1/1000</f>
        <v>1106</v>
      </c>
      <c r="K117" s="33" t="s">
        <v>285</v>
      </c>
      <c r="L117" s="24"/>
      <c r="M117" s="24"/>
      <c r="N117" s="24"/>
      <c r="O117" s="8">
        <f t="shared" si="41"/>
        <v>663.6</v>
      </c>
      <c r="P117" s="8">
        <f t="shared" si="42"/>
        <v>442.40000000000003</v>
      </c>
      <c r="Q117" s="8"/>
      <c r="R117" s="8"/>
      <c r="S117" s="24"/>
      <c r="T117" s="8"/>
      <c r="U117" s="24" t="s">
        <v>236</v>
      </c>
      <c r="V117" s="61">
        <f t="shared" si="40"/>
        <v>0</v>
      </c>
      <c r="W117" s="110" t="s">
        <v>500</v>
      </c>
    </row>
    <row r="118" spans="1:25" ht="31.5">
      <c r="A118" s="60" t="s">
        <v>162</v>
      </c>
      <c r="B118" s="1" t="s">
        <v>149</v>
      </c>
      <c r="C118" s="1" t="s">
        <v>144</v>
      </c>
      <c r="D118" s="3">
        <v>1</v>
      </c>
      <c r="E118" s="25" t="s">
        <v>249</v>
      </c>
      <c r="F118" s="5" t="s">
        <v>29</v>
      </c>
      <c r="G118" s="6">
        <v>2</v>
      </c>
      <c r="H118" s="6" t="s">
        <v>163</v>
      </c>
      <c r="I118" s="23">
        <v>20000</v>
      </c>
      <c r="J118" s="23">
        <f>I118*G118*1.3/1000</f>
        <v>52</v>
      </c>
      <c r="K118" s="36" t="s">
        <v>254</v>
      </c>
      <c r="L118" s="24"/>
      <c r="M118" s="24"/>
      <c r="N118" s="24"/>
      <c r="O118" s="8">
        <f t="shared" si="41"/>
        <v>31.2</v>
      </c>
      <c r="P118" s="8">
        <f t="shared" si="42"/>
        <v>20.8</v>
      </c>
      <c r="Q118" s="8"/>
      <c r="R118" s="8"/>
      <c r="S118" s="24"/>
      <c r="T118" s="8"/>
      <c r="U118" s="24" t="s">
        <v>236</v>
      </c>
      <c r="V118" s="61">
        <f t="shared" si="40"/>
        <v>0</v>
      </c>
      <c r="W118" s="110" t="s">
        <v>500</v>
      </c>
    </row>
    <row r="119" spans="1:25" ht="31.5">
      <c r="A119" s="60" t="s">
        <v>162</v>
      </c>
      <c r="B119" s="1" t="s">
        <v>149</v>
      </c>
      <c r="C119" s="1" t="s">
        <v>144</v>
      </c>
      <c r="D119" s="3">
        <v>1</v>
      </c>
      <c r="E119" s="25" t="s">
        <v>250</v>
      </c>
      <c r="F119" s="5" t="s">
        <v>29</v>
      </c>
      <c r="G119" s="6">
        <v>4</v>
      </c>
      <c r="H119" s="6" t="s">
        <v>164</v>
      </c>
      <c r="I119" s="23">
        <f>32914/4</f>
        <v>8228.5</v>
      </c>
      <c r="J119" s="23">
        <f>I119*G119*1.3/1000</f>
        <v>42.788200000000003</v>
      </c>
      <c r="K119" s="33" t="s">
        <v>251</v>
      </c>
      <c r="L119" s="24"/>
      <c r="M119" s="24"/>
      <c r="N119" s="24"/>
      <c r="O119" s="8">
        <f t="shared" si="41"/>
        <v>25.672920000000001</v>
      </c>
      <c r="P119" s="8">
        <f t="shared" si="42"/>
        <v>17.115280000000002</v>
      </c>
      <c r="Q119" s="8"/>
      <c r="R119" s="8"/>
      <c r="S119" s="24"/>
      <c r="T119" s="8"/>
      <c r="U119" s="24" t="s">
        <v>236</v>
      </c>
      <c r="V119" s="61">
        <f t="shared" si="40"/>
        <v>0</v>
      </c>
      <c r="W119" s="110" t="s">
        <v>500</v>
      </c>
    </row>
    <row r="120" spans="1:25" ht="47.25">
      <c r="A120" s="60" t="s">
        <v>162</v>
      </c>
      <c r="B120" s="1" t="s">
        <v>26</v>
      </c>
      <c r="C120" s="1" t="s">
        <v>144</v>
      </c>
      <c r="D120" s="3">
        <v>1</v>
      </c>
      <c r="E120" s="25" t="s">
        <v>252</v>
      </c>
      <c r="F120" s="5" t="s">
        <v>29</v>
      </c>
      <c r="G120" s="6">
        <v>1</v>
      </c>
      <c r="H120" s="6" t="s">
        <v>165</v>
      </c>
      <c r="I120" s="23">
        <v>22557</v>
      </c>
      <c r="J120" s="23">
        <f>I120*G120*1.3/1000</f>
        <v>29.324100000000001</v>
      </c>
      <c r="K120" s="36" t="s">
        <v>253</v>
      </c>
      <c r="L120" s="24"/>
      <c r="M120" s="24"/>
      <c r="N120" s="24"/>
      <c r="O120" s="8">
        <f t="shared" si="41"/>
        <v>17.594460000000002</v>
      </c>
      <c r="P120" s="8">
        <f t="shared" si="42"/>
        <v>11.729640000000002</v>
      </c>
      <c r="Q120" s="8"/>
      <c r="R120" s="8"/>
      <c r="S120" s="24"/>
      <c r="T120" s="8"/>
      <c r="U120" s="24" t="s">
        <v>236</v>
      </c>
      <c r="V120" s="61">
        <f t="shared" si="40"/>
        <v>0</v>
      </c>
      <c r="W120" s="110" t="s">
        <v>500</v>
      </c>
    </row>
    <row r="121" spans="1:25" ht="31.5">
      <c r="A121" s="60" t="s">
        <v>166</v>
      </c>
      <c r="B121" s="1" t="s">
        <v>26</v>
      </c>
      <c r="C121" s="1" t="s">
        <v>144</v>
      </c>
      <c r="D121" s="3">
        <v>1</v>
      </c>
      <c r="E121" s="4" t="s">
        <v>167</v>
      </c>
      <c r="F121" s="5" t="s">
        <v>29</v>
      </c>
      <c r="G121" s="6">
        <v>4</v>
      </c>
      <c r="H121" s="6" t="s">
        <v>168</v>
      </c>
      <c r="I121" s="23">
        <v>6693</v>
      </c>
      <c r="J121" s="23">
        <f>I121*G121*1.3/1000</f>
        <v>34.803599999999996</v>
      </c>
      <c r="K121" s="104" t="s">
        <v>347</v>
      </c>
      <c r="L121" s="24"/>
      <c r="M121" s="24"/>
      <c r="N121" s="24"/>
      <c r="O121" s="8">
        <f t="shared" si="41"/>
        <v>20.882159999999995</v>
      </c>
      <c r="P121" s="8">
        <f t="shared" si="42"/>
        <v>13.921439999999999</v>
      </c>
      <c r="Q121" s="8"/>
      <c r="R121" s="8"/>
      <c r="S121" s="24"/>
      <c r="T121" s="8"/>
      <c r="U121" s="24" t="s">
        <v>236</v>
      </c>
      <c r="V121" s="61">
        <f t="shared" si="40"/>
        <v>0</v>
      </c>
      <c r="W121" s="110" t="s">
        <v>500</v>
      </c>
    </row>
    <row r="122" spans="1:25" ht="31.5">
      <c r="A122" s="60" t="s">
        <v>151</v>
      </c>
      <c r="B122" s="1" t="s">
        <v>149</v>
      </c>
      <c r="C122" s="1" t="s">
        <v>144</v>
      </c>
      <c r="D122" s="3">
        <v>1</v>
      </c>
      <c r="E122" s="4" t="s">
        <v>169</v>
      </c>
      <c r="F122" s="5" t="s">
        <v>29</v>
      </c>
      <c r="G122" s="6">
        <v>2</v>
      </c>
      <c r="H122" s="6" t="s">
        <v>170</v>
      </c>
      <c r="I122" s="23">
        <v>44117</v>
      </c>
      <c r="J122" s="23">
        <f>I122*G122*1.3/1000</f>
        <v>114.7042</v>
      </c>
      <c r="K122" s="125" t="s">
        <v>399</v>
      </c>
      <c r="L122" s="24"/>
      <c r="M122" s="24"/>
      <c r="N122" s="24"/>
      <c r="O122" s="8">
        <f t="shared" si="41"/>
        <v>68.822519999999997</v>
      </c>
      <c r="P122" s="8">
        <f t="shared" si="42"/>
        <v>45.881680000000003</v>
      </c>
      <c r="Q122" s="8"/>
      <c r="R122" s="8"/>
      <c r="S122" s="24"/>
      <c r="T122" s="8"/>
      <c r="U122" s="24" t="s">
        <v>236</v>
      </c>
      <c r="V122" s="61">
        <f t="shared" si="40"/>
        <v>0</v>
      </c>
      <c r="W122" s="110" t="s">
        <v>500</v>
      </c>
    </row>
    <row r="123" spans="1:25" ht="45">
      <c r="A123" s="60" t="s">
        <v>162</v>
      </c>
      <c r="B123" s="1" t="s">
        <v>149</v>
      </c>
      <c r="C123" s="1" t="s">
        <v>144</v>
      </c>
      <c r="D123" s="3">
        <v>1</v>
      </c>
      <c r="E123" s="70" t="s">
        <v>255</v>
      </c>
      <c r="F123" s="5" t="s">
        <v>29</v>
      </c>
      <c r="G123" s="6">
        <v>1</v>
      </c>
      <c r="H123" s="6" t="s">
        <v>171</v>
      </c>
      <c r="I123" s="128">
        <v>171145</v>
      </c>
      <c r="J123" s="23">
        <f>I123*G123*1/1000</f>
        <v>171.14500000000001</v>
      </c>
      <c r="K123" s="71" t="s">
        <v>256</v>
      </c>
      <c r="L123" s="24"/>
      <c r="M123" s="24"/>
      <c r="N123" s="24"/>
      <c r="O123" s="8"/>
      <c r="P123" s="8"/>
      <c r="Q123" s="8">
        <f>J123*0.7</f>
        <v>119.8015</v>
      </c>
      <c r="R123" s="8">
        <f>J123*0.3</f>
        <v>51.343499999999999</v>
      </c>
      <c r="S123" s="24"/>
      <c r="T123" s="8"/>
      <c r="U123" s="24" t="s">
        <v>236</v>
      </c>
      <c r="V123" s="61">
        <f t="shared" si="40"/>
        <v>0</v>
      </c>
      <c r="W123" s="110" t="s">
        <v>500</v>
      </c>
    </row>
    <row r="124" spans="1:25" ht="31.5">
      <c r="A124" s="60" t="s">
        <v>162</v>
      </c>
      <c r="B124" s="1" t="s">
        <v>149</v>
      </c>
      <c r="C124" s="1" t="s">
        <v>144</v>
      </c>
      <c r="D124" s="3">
        <v>1</v>
      </c>
      <c r="E124" s="4" t="s">
        <v>257</v>
      </c>
      <c r="F124" s="5" t="s">
        <v>29</v>
      </c>
      <c r="G124" s="6">
        <v>4</v>
      </c>
      <c r="H124" s="6" t="s">
        <v>258</v>
      </c>
      <c r="I124" s="23">
        <v>101494</v>
      </c>
      <c r="J124" s="23">
        <f>I124*G124*1/1000</f>
        <v>405.976</v>
      </c>
      <c r="K124" s="33" t="s">
        <v>259</v>
      </c>
      <c r="L124" s="24"/>
      <c r="M124" s="24"/>
      <c r="N124" s="24"/>
      <c r="O124" s="8"/>
      <c r="P124" s="8"/>
      <c r="Q124" s="8">
        <f>J124*0.25</f>
        <v>101.494</v>
      </c>
      <c r="R124" s="8">
        <f>J124*0.25</f>
        <v>101.494</v>
      </c>
      <c r="S124" s="24">
        <f>J124*0.25</f>
        <v>101.494</v>
      </c>
      <c r="T124" s="8">
        <f>J124*0.25</f>
        <v>101.494</v>
      </c>
      <c r="U124" s="24" t="s">
        <v>236</v>
      </c>
      <c r="V124" s="61">
        <f t="shared" si="40"/>
        <v>0</v>
      </c>
      <c r="W124" s="110" t="s">
        <v>500</v>
      </c>
    </row>
    <row r="125" spans="1:25" ht="31.5">
      <c r="A125" s="60" t="s">
        <v>162</v>
      </c>
      <c r="B125" s="1" t="s">
        <v>149</v>
      </c>
      <c r="C125" s="1" t="s">
        <v>144</v>
      </c>
      <c r="D125" s="3">
        <v>1</v>
      </c>
      <c r="E125" s="4" t="s">
        <v>260</v>
      </c>
      <c r="F125" s="5" t="s">
        <v>29</v>
      </c>
      <c r="G125" s="6">
        <v>2</v>
      </c>
      <c r="H125" s="6" t="s">
        <v>86</v>
      </c>
      <c r="I125" s="23">
        <v>56000</v>
      </c>
      <c r="J125" s="23">
        <f>I125*G125*1.3/1000</f>
        <v>145.6</v>
      </c>
      <c r="K125" s="33" t="s">
        <v>261</v>
      </c>
      <c r="L125" s="24"/>
      <c r="M125" s="24"/>
      <c r="N125" s="24"/>
      <c r="O125" s="8"/>
      <c r="P125" s="8"/>
      <c r="Q125" s="8">
        <f>J125/2</f>
        <v>72.8</v>
      </c>
      <c r="R125" s="24"/>
      <c r="S125" s="8">
        <f>J125/2</f>
        <v>72.8</v>
      </c>
      <c r="T125" s="8" t="s">
        <v>0</v>
      </c>
      <c r="U125" s="24" t="s">
        <v>236</v>
      </c>
      <c r="V125" s="61">
        <f t="shared" si="40"/>
        <v>0</v>
      </c>
      <c r="W125" s="110" t="s">
        <v>500</v>
      </c>
    </row>
    <row r="126" spans="1:25" ht="31.5">
      <c r="A126" s="60" t="s">
        <v>162</v>
      </c>
      <c r="B126" s="1" t="s">
        <v>149</v>
      </c>
      <c r="C126" s="1" t="s">
        <v>144</v>
      </c>
      <c r="D126" s="3">
        <v>1</v>
      </c>
      <c r="E126" s="4" t="s">
        <v>172</v>
      </c>
      <c r="F126" s="5" t="s">
        <v>29</v>
      </c>
      <c r="G126" s="6">
        <v>1</v>
      </c>
      <c r="H126" s="6" t="s">
        <v>86</v>
      </c>
      <c r="I126" s="23">
        <v>150000</v>
      </c>
      <c r="J126" s="23">
        <f>I126*G126*1.3/1000</f>
        <v>195</v>
      </c>
      <c r="K126" s="36" t="s">
        <v>284</v>
      </c>
      <c r="L126" s="24"/>
      <c r="M126" s="24"/>
      <c r="N126" s="24"/>
      <c r="O126" s="8"/>
      <c r="P126" s="8"/>
      <c r="Q126" s="8">
        <f>J126*0.7</f>
        <v>136.5</v>
      </c>
      <c r="R126" s="8">
        <f>J126*0.3</f>
        <v>58.5</v>
      </c>
      <c r="S126" s="24"/>
      <c r="T126" s="8"/>
      <c r="U126" s="24" t="s">
        <v>236</v>
      </c>
      <c r="V126" s="61">
        <f t="shared" si="40"/>
        <v>0</v>
      </c>
      <c r="W126" s="110" t="s">
        <v>500</v>
      </c>
    </row>
    <row r="127" spans="1:25" ht="47.25">
      <c r="A127" s="60" t="s">
        <v>162</v>
      </c>
      <c r="B127" s="1" t="s">
        <v>149</v>
      </c>
      <c r="C127" s="72" t="s">
        <v>144</v>
      </c>
      <c r="D127" s="34">
        <v>1</v>
      </c>
      <c r="E127" s="35" t="s">
        <v>173</v>
      </c>
      <c r="F127" s="5" t="s">
        <v>29</v>
      </c>
      <c r="G127" s="6">
        <v>1</v>
      </c>
      <c r="H127" s="6" t="s">
        <v>86</v>
      </c>
      <c r="I127" s="23">
        <v>205193</v>
      </c>
      <c r="J127" s="23">
        <f>I127*G127*1/1000</f>
        <v>205.19300000000001</v>
      </c>
      <c r="K127" s="36" t="s">
        <v>262</v>
      </c>
      <c r="L127" s="45"/>
      <c r="M127" s="45"/>
      <c r="N127" s="45"/>
      <c r="O127" s="46"/>
      <c r="P127" s="46"/>
      <c r="Q127" s="8">
        <f>J127*0.7</f>
        <v>143.63509999999999</v>
      </c>
      <c r="R127" s="8">
        <f>J127*0.3</f>
        <v>61.557900000000004</v>
      </c>
      <c r="S127" s="24"/>
      <c r="T127" s="8"/>
      <c r="U127" s="24" t="s">
        <v>236</v>
      </c>
      <c r="V127" s="61">
        <f t="shared" si="40"/>
        <v>0</v>
      </c>
      <c r="W127" s="110" t="s">
        <v>500</v>
      </c>
    </row>
    <row r="128" spans="1:25" ht="47.25">
      <c r="A128" s="60" t="s">
        <v>162</v>
      </c>
      <c r="B128" s="72" t="s">
        <v>149</v>
      </c>
      <c r="C128" s="72" t="s">
        <v>144</v>
      </c>
      <c r="D128" s="3">
        <v>1</v>
      </c>
      <c r="E128" s="25" t="s">
        <v>174</v>
      </c>
      <c r="F128" s="49" t="s">
        <v>29</v>
      </c>
      <c r="G128" s="50">
        <v>1</v>
      </c>
      <c r="H128" s="50" t="s">
        <v>86</v>
      </c>
      <c r="I128" s="51">
        <v>47640</v>
      </c>
      <c r="J128" s="23">
        <f>I128*G128*1.3/1000</f>
        <v>61.932000000000002</v>
      </c>
      <c r="K128" s="36" t="s">
        <v>263</v>
      </c>
      <c r="L128" s="45"/>
      <c r="M128" s="45"/>
      <c r="N128" s="45"/>
      <c r="O128" s="46"/>
      <c r="P128" s="46"/>
      <c r="Q128" s="8">
        <f>J128*0.7</f>
        <v>43.352399999999996</v>
      </c>
      <c r="R128" s="8">
        <f>J128*0.3</f>
        <v>18.579599999999999</v>
      </c>
      <c r="S128" s="24"/>
      <c r="T128" s="8"/>
      <c r="U128" s="24" t="s">
        <v>236</v>
      </c>
      <c r="V128" s="61">
        <f t="shared" si="40"/>
        <v>0</v>
      </c>
      <c r="W128" s="110" t="s">
        <v>500</v>
      </c>
    </row>
    <row r="129" spans="1:23" ht="47.25">
      <c r="A129" s="60" t="s">
        <v>175</v>
      </c>
      <c r="B129" s="1" t="s">
        <v>26</v>
      </c>
      <c r="C129" s="1" t="s">
        <v>144</v>
      </c>
      <c r="D129" s="3">
        <v>1</v>
      </c>
      <c r="E129" s="4" t="s">
        <v>176</v>
      </c>
      <c r="F129" s="5" t="s">
        <v>29</v>
      </c>
      <c r="G129" s="6">
        <v>1</v>
      </c>
      <c r="H129" s="6" t="s">
        <v>58</v>
      </c>
      <c r="I129" s="23">
        <v>203904</v>
      </c>
      <c r="J129" s="23">
        <f>I129*G129*1.3/1000</f>
        <v>265.0752</v>
      </c>
      <c r="K129" s="36" t="s">
        <v>269</v>
      </c>
      <c r="L129" s="24"/>
      <c r="M129" s="24"/>
      <c r="N129" s="24"/>
      <c r="O129" s="8" t="s">
        <v>0</v>
      </c>
      <c r="P129" s="8">
        <f>J129*0.7</f>
        <v>185.55264</v>
      </c>
      <c r="Q129" s="8">
        <f>J129*0.3</f>
        <v>79.522559999999999</v>
      </c>
      <c r="R129" s="8"/>
      <c r="S129" s="24"/>
      <c r="T129" s="8"/>
      <c r="U129" s="24" t="s">
        <v>236</v>
      </c>
      <c r="V129" s="61">
        <f t="shared" si="40"/>
        <v>0</v>
      </c>
      <c r="W129" s="110" t="s">
        <v>500</v>
      </c>
    </row>
    <row r="130" spans="1:23">
      <c r="A130" s="60" t="s">
        <v>106</v>
      </c>
      <c r="B130" s="1" t="s">
        <v>149</v>
      </c>
      <c r="C130" s="1" t="s">
        <v>144</v>
      </c>
      <c r="D130" s="3">
        <v>1</v>
      </c>
      <c r="E130" s="4" t="s">
        <v>475</v>
      </c>
      <c r="F130" s="5" t="s">
        <v>29</v>
      </c>
      <c r="G130" s="6">
        <v>288</v>
      </c>
      <c r="H130" s="6" t="s">
        <v>273</v>
      </c>
      <c r="I130" s="23">
        <v>695</v>
      </c>
      <c r="J130" s="23">
        <f>I130*G130*1.3/1000</f>
        <v>260.20800000000003</v>
      </c>
      <c r="K130" s="104" t="s">
        <v>443</v>
      </c>
      <c r="L130" s="24"/>
      <c r="M130" s="24"/>
      <c r="N130" s="24"/>
      <c r="O130" s="8">
        <f t="shared" ref="O130:R131" si="43">$J130/4</f>
        <v>65.052000000000007</v>
      </c>
      <c r="P130" s="8">
        <f t="shared" si="43"/>
        <v>65.052000000000007</v>
      </c>
      <c r="Q130" s="8">
        <f t="shared" si="43"/>
        <v>65.052000000000007</v>
      </c>
      <c r="R130" s="8">
        <f t="shared" si="43"/>
        <v>65.052000000000007</v>
      </c>
      <c r="S130" s="24"/>
      <c r="T130" s="8"/>
      <c r="U130" s="24" t="s">
        <v>236</v>
      </c>
      <c r="V130" s="61">
        <f t="shared" si="40"/>
        <v>0</v>
      </c>
      <c r="W130" s="110" t="s">
        <v>500</v>
      </c>
    </row>
    <row r="131" spans="1:23">
      <c r="A131" s="60" t="s">
        <v>106</v>
      </c>
      <c r="B131" s="1" t="s">
        <v>149</v>
      </c>
      <c r="C131" s="1" t="s">
        <v>144</v>
      </c>
      <c r="D131" s="3">
        <v>1</v>
      </c>
      <c r="E131" s="4" t="s">
        <v>177</v>
      </c>
      <c r="F131" s="5" t="s">
        <v>29</v>
      </c>
      <c r="G131" s="6">
        <v>24</v>
      </c>
      <c r="H131" s="6" t="s">
        <v>178</v>
      </c>
      <c r="I131" s="23">
        <v>7500</v>
      </c>
      <c r="J131" s="23">
        <f>I131*G131*1.3/1000</f>
        <v>234</v>
      </c>
      <c r="K131" s="104" t="s">
        <v>283</v>
      </c>
      <c r="L131" s="24"/>
      <c r="M131" s="24"/>
      <c r="N131" s="24"/>
      <c r="O131" s="8">
        <f t="shared" si="43"/>
        <v>58.5</v>
      </c>
      <c r="P131" s="8">
        <f t="shared" si="43"/>
        <v>58.5</v>
      </c>
      <c r="Q131" s="8">
        <f t="shared" si="43"/>
        <v>58.5</v>
      </c>
      <c r="R131" s="8">
        <f t="shared" si="43"/>
        <v>58.5</v>
      </c>
      <c r="S131" s="24" t="s">
        <v>0</v>
      </c>
      <c r="T131" s="8" t="s">
        <v>0</v>
      </c>
      <c r="U131" s="24" t="s">
        <v>236</v>
      </c>
      <c r="V131" s="61">
        <f t="shared" si="40"/>
        <v>0</v>
      </c>
      <c r="W131" s="110" t="s">
        <v>500</v>
      </c>
    </row>
    <row r="132" spans="1:23">
      <c r="A132" s="60" t="s">
        <v>81</v>
      </c>
      <c r="B132" s="1" t="s">
        <v>149</v>
      </c>
      <c r="C132" s="29" t="s">
        <v>144</v>
      </c>
      <c r="D132" s="48">
        <v>1</v>
      </c>
      <c r="E132" s="25" t="s">
        <v>179</v>
      </c>
      <c r="F132" s="49" t="s">
        <v>29</v>
      </c>
      <c r="G132" s="50">
        <v>1</v>
      </c>
      <c r="H132" s="50" t="s">
        <v>180</v>
      </c>
      <c r="I132" s="51">
        <v>160000</v>
      </c>
      <c r="J132" s="23">
        <f>I132*G132*1.3/1000</f>
        <v>208</v>
      </c>
      <c r="K132" s="125" t="s">
        <v>282</v>
      </c>
      <c r="L132" s="24"/>
      <c r="M132" s="24" t="s">
        <v>0</v>
      </c>
      <c r="N132" s="24"/>
      <c r="O132" s="8">
        <f>J132</f>
        <v>208</v>
      </c>
      <c r="P132" s="8"/>
      <c r="Q132" s="8"/>
      <c r="R132" s="8"/>
      <c r="S132" s="24"/>
      <c r="T132" s="8"/>
      <c r="U132" s="63" t="s">
        <v>231</v>
      </c>
      <c r="V132" s="61">
        <f t="shared" si="40"/>
        <v>0</v>
      </c>
      <c r="W132" s="110" t="s">
        <v>500</v>
      </c>
    </row>
    <row r="133" spans="1:23">
      <c r="A133" s="60" t="s">
        <v>264</v>
      </c>
      <c r="B133" s="1" t="s">
        <v>26</v>
      </c>
      <c r="C133" s="29" t="s">
        <v>144</v>
      </c>
      <c r="D133" s="48">
        <v>2</v>
      </c>
      <c r="E133" s="25" t="s">
        <v>97</v>
      </c>
      <c r="F133" s="49" t="s">
        <v>29</v>
      </c>
      <c r="G133" s="50"/>
      <c r="H133" s="50"/>
      <c r="I133" s="51" t="s">
        <v>0</v>
      </c>
      <c r="J133" s="51">
        <f>J106+J107+J108+J109+J110+J112+J115+J120+J121+J129</f>
        <v>1414.8823</v>
      </c>
      <c r="K133" s="36" t="s">
        <v>265</v>
      </c>
      <c r="L133" s="24"/>
      <c r="M133" s="24"/>
      <c r="N133" s="24"/>
      <c r="O133" s="28" t="s">
        <v>0</v>
      </c>
      <c r="P133" s="28" t="s">
        <v>0</v>
      </c>
      <c r="Q133" s="28">
        <f>J133*0.3</f>
        <v>424.46468999999996</v>
      </c>
      <c r="R133" s="28">
        <f>J133*0.3</f>
        <v>424.46468999999996</v>
      </c>
      <c r="S133" s="23">
        <f>J133*0.3</f>
        <v>424.46468999999996</v>
      </c>
      <c r="T133" s="28">
        <f>J133*0.1</f>
        <v>141.48823000000002</v>
      </c>
      <c r="U133" s="24" t="s">
        <v>236</v>
      </c>
      <c r="V133" s="61">
        <f t="shared" si="40"/>
        <v>0</v>
      </c>
      <c r="W133" s="110" t="s">
        <v>500</v>
      </c>
    </row>
    <row r="134" spans="1:23">
      <c r="A134" s="60" t="s">
        <v>264</v>
      </c>
      <c r="B134" s="1" t="s">
        <v>149</v>
      </c>
      <c r="C134" s="29" t="s">
        <v>181</v>
      </c>
      <c r="D134" s="48">
        <v>2</v>
      </c>
      <c r="E134" s="25" t="s">
        <v>97</v>
      </c>
      <c r="F134" s="49" t="s">
        <v>29</v>
      </c>
      <c r="G134" s="50"/>
      <c r="H134" s="50"/>
      <c r="I134" s="51" t="s">
        <v>0</v>
      </c>
      <c r="J134" s="51">
        <f>SUM(J106:J132)-J133</f>
        <v>4041.3684000000003</v>
      </c>
      <c r="K134" s="36" t="s">
        <v>266</v>
      </c>
      <c r="L134" s="24"/>
      <c r="M134" s="24"/>
      <c r="N134" s="24"/>
      <c r="O134" s="28"/>
      <c r="P134" s="28"/>
      <c r="Q134" s="28">
        <f>J134*0.3</f>
        <v>1212.4105200000001</v>
      </c>
      <c r="R134" s="28">
        <f>J134*0.3</f>
        <v>1212.4105200000001</v>
      </c>
      <c r="S134" s="23">
        <f>J134*0.3</f>
        <v>1212.4105200000001</v>
      </c>
      <c r="T134" s="28">
        <f>J134*0.1</f>
        <v>404.13684000000006</v>
      </c>
      <c r="U134" s="24" t="s">
        <v>236</v>
      </c>
      <c r="V134" s="61">
        <f t="shared" si="40"/>
        <v>0</v>
      </c>
      <c r="W134" s="110" t="s">
        <v>500</v>
      </c>
    </row>
    <row r="135" spans="1:23">
      <c r="A135" s="60" t="s">
        <v>264</v>
      </c>
      <c r="B135" s="1" t="s">
        <v>149</v>
      </c>
      <c r="C135" s="29" t="s">
        <v>144</v>
      </c>
      <c r="D135" s="48">
        <v>2</v>
      </c>
      <c r="E135" s="25" t="s">
        <v>281</v>
      </c>
      <c r="F135" s="49" t="s">
        <v>29</v>
      </c>
      <c r="G135" s="50"/>
      <c r="H135" s="50" t="s">
        <v>182</v>
      </c>
      <c r="I135" s="51"/>
      <c r="J135" s="51">
        <f>-(J116+J117)</f>
        <v>-1796.3</v>
      </c>
      <c r="K135" s="36" t="s">
        <v>280</v>
      </c>
      <c r="L135" s="24"/>
      <c r="M135" s="24"/>
      <c r="N135" s="24"/>
      <c r="O135" s="28"/>
      <c r="P135" s="28"/>
      <c r="Q135" s="28">
        <f>J135*0.6</f>
        <v>-1077.78</v>
      </c>
      <c r="R135" s="28">
        <f>J135*0.4</f>
        <v>-718.52</v>
      </c>
      <c r="S135" s="23" t="s">
        <v>0</v>
      </c>
      <c r="T135" s="28" t="s">
        <v>0</v>
      </c>
      <c r="U135" s="24" t="s">
        <v>236</v>
      </c>
      <c r="V135" s="61">
        <f t="shared" si="40"/>
        <v>0</v>
      </c>
      <c r="W135" s="110" t="s">
        <v>500</v>
      </c>
    </row>
    <row r="136" spans="1:23" ht="31.5">
      <c r="A136" s="84" t="s">
        <v>162</v>
      </c>
      <c r="B136" s="81" t="s">
        <v>149</v>
      </c>
      <c r="C136" s="29" t="s">
        <v>144</v>
      </c>
      <c r="D136" s="38" t="s">
        <v>112</v>
      </c>
      <c r="E136" s="39" t="s">
        <v>183</v>
      </c>
      <c r="F136" s="49" t="s">
        <v>29</v>
      </c>
      <c r="G136" s="50">
        <v>2</v>
      </c>
      <c r="H136" s="50" t="s">
        <v>86</v>
      </c>
      <c r="I136" s="51">
        <v>235332</v>
      </c>
      <c r="J136" s="23">
        <f>I136*G136*1/1000</f>
        <v>470.66399999999999</v>
      </c>
      <c r="K136" s="36" t="s">
        <v>270</v>
      </c>
      <c r="L136" s="43"/>
      <c r="M136" s="43"/>
      <c r="N136" s="43" t="s">
        <v>0</v>
      </c>
      <c r="O136" s="44" t="s">
        <v>0</v>
      </c>
      <c r="P136" s="44" t="s">
        <v>0</v>
      </c>
      <c r="Q136" s="82">
        <f>J136</f>
        <v>470.66399999999999</v>
      </c>
      <c r="R136" s="82" t="s">
        <v>0</v>
      </c>
      <c r="S136" s="83" t="s">
        <v>0</v>
      </c>
      <c r="T136" s="44"/>
      <c r="U136" s="24" t="s">
        <v>236</v>
      </c>
      <c r="V136" s="61">
        <f t="shared" si="40"/>
        <v>0</v>
      </c>
      <c r="W136" s="110" t="s">
        <v>500</v>
      </c>
    </row>
    <row r="137" spans="1:23" ht="31.5">
      <c r="A137" s="85" t="s">
        <v>162</v>
      </c>
      <c r="B137" s="1" t="s">
        <v>149</v>
      </c>
      <c r="C137" s="29" t="s">
        <v>144</v>
      </c>
      <c r="D137" s="48" t="s">
        <v>112</v>
      </c>
      <c r="E137" s="25" t="s">
        <v>184</v>
      </c>
      <c r="F137" s="49" t="s">
        <v>29</v>
      </c>
      <c r="G137" s="50">
        <v>96</v>
      </c>
      <c r="H137" s="77" t="s">
        <v>273</v>
      </c>
      <c r="I137" s="51">
        <v>352.14</v>
      </c>
      <c r="J137" s="23">
        <f>I137*G137*1.3/1000</f>
        <v>43.947072000000006</v>
      </c>
      <c r="K137" s="36" t="s">
        <v>271</v>
      </c>
      <c r="L137" s="24"/>
      <c r="M137" s="24"/>
      <c r="N137" s="24" t="s">
        <v>0</v>
      </c>
      <c r="O137" s="8" t="s">
        <v>0</v>
      </c>
      <c r="P137" s="8" t="s">
        <v>0</v>
      </c>
      <c r="Q137" s="8">
        <f>$J137/4</f>
        <v>10.986768000000001</v>
      </c>
      <c r="R137" s="8">
        <f>$J137/4</f>
        <v>10.986768000000001</v>
      </c>
      <c r="S137" s="8">
        <f>$J137/4</f>
        <v>10.986768000000001</v>
      </c>
      <c r="T137" s="8">
        <f>$J137/4</f>
        <v>10.986768000000001</v>
      </c>
      <c r="U137" s="24" t="s">
        <v>236</v>
      </c>
      <c r="V137" s="61">
        <f t="shared" si="40"/>
        <v>0</v>
      </c>
      <c r="W137" s="110" t="s">
        <v>500</v>
      </c>
    </row>
    <row r="138" spans="1:23" ht="47.25">
      <c r="A138" s="85" t="s">
        <v>162</v>
      </c>
      <c r="B138" s="1" t="s">
        <v>149</v>
      </c>
      <c r="C138" s="29" t="s">
        <v>144</v>
      </c>
      <c r="D138" s="48" t="s">
        <v>112</v>
      </c>
      <c r="E138" s="25" t="s">
        <v>268</v>
      </c>
      <c r="F138" s="49" t="s">
        <v>29</v>
      </c>
      <c r="G138" s="50">
        <v>1</v>
      </c>
      <c r="H138" s="50" t="s">
        <v>70</v>
      </c>
      <c r="I138" s="51">
        <v>75186</v>
      </c>
      <c r="J138" s="23">
        <f>I138*G138*1.3/1000</f>
        <v>97.741799999999998</v>
      </c>
      <c r="K138" s="36" t="s">
        <v>275</v>
      </c>
      <c r="L138" s="24"/>
      <c r="M138" s="24"/>
      <c r="N138" s="24"/>
      <c r="O138" s="8"/>
      <c r="P138" s="8"/>
      <c r="Q138" s="8">
        <f>J138</f>
        <v>97.741799999999998</v>
      </c>
      <c r="R138" s="8"/>
      <c r="S138" s="24"/>
      <c r="T138" s="8"/>
      <c r="U138" s="24" t="s">
        <v>236</v>
      </c>
      <c r="V138" s="61">
        <f t="shared" si="40"/>
        <v>0</v>
      </c>
      <c r="W138" s="110" t="s">
        <v>500</v>
      </c>
    </row>
    <row r="139" spans="1:23">
      <c r="A139" s="84" t="s">
        <v>264</v>
      </c>
      <c r="B139" s="1" t="s">
        <v>110</v>
      </c>
      <c r="C139" s="29" t="s">
        <v>144</v>
      </c>
      <c r="D139" s="48" t="s">
        <v>112</v>
      </c>
      <c r="E139" s="30" t="s">
        <v>185</v>
      </c>
      <c r="F139" s="49" t="s">
        <v>29</v>
      </c>
      <c r="G139" s="50">
        <v>30</v>
      </c>
      <c r="H139" s="50" t="s">
        <v>186</v>
      </c>
      <c r="I139" s="51">
        <v>900</v>
      </c>
      <c r="J139" s="23">
        <f>I139*G139*1.3/1000</f>
        <v>35.1</v>
      </c>
      <c r="K139" s="71" t="s">
        <v>272</v>
      </c>
      <c r="L139" s="29"/>
      <c r="M139" s="52"/>
      <c r="N139" s="29"/>
      <c r="O139" s="53"/>
      <c r="P139" s="53"/>
      <c r="Q139" s="8">
        <f>J139</f>
        <v>35.1</v>
      </c>
      <c r="R139" s="53"/>
      <c r="S139" s="29"/>
      <c r="T139" s="53"/>
      <c r="U139" s="63" t="s">
        <v>231</v>
      </c>
      <c r="V139" s="61">
        <f t="shared" si="40"/>
        <v>0</v>
      </c>
      <c r="W139" s="110" t="s">
        <v>500</v>
      </c>
    </row>
    <row r="140" spans="1:23" s="65" customFormat="1" ht="31.5">
      <c r="A140" s="84" t="s">
        <v>81</v>
      </c>
      <c r="B140" s="64" t="s">
        <v>149</v>
      </c>
      <c r="C140" s="29" t="s">
        <v>144</v>
      </c>
      <c r="D140" s="48" t="s">
        <v>112</v>
      </c>
      <c r="E140" s="30" t="s">
        <v>187</v>
      </c>
      <c r="F140" s="49" t="s">
        <v>29</v>
      </c>
      <c r="G140" s="50">
        <v>1</v>
      </c>
      <c r="H140" s="50" t="s">
        <v>188</v>
      </c>
      <c r="I140" s="51">
        <f>121325*1.1</f>
        <v>133457.5</v>
      </c>
      <c r="J140" s="23">
        <f>I140*G140*1.3/1000</f>
        <v>173.49475000000001</v>
      </c>
      <c r="K140" s="125" t="s">
        <v>379</v>
      </c>
      <c r="L140" s="29"/>
      <c r="M140" s="29"/>
      <c r="N140" s="52">
        <f>J140</f>
        <v>173.49475000000001</v>
      </c>
      <c r="O140" s="53"/>
      <c r="P140" s="53" t="s">
        <v>0</v>
      </c>
      <c r="Q140" s="53" t="s">
        <v>0</v>
      </c>
      <c r="R140" s="53"/>
      <c r="S140" s="29"/>
      <c r="T140" s="53"/>
      <c r="U140" s="63" t="s">
        <v>231</v>
      </c>
      <c r="V140" s="61">
        <f t="shared" si="40"/>
        <v>0</v>
      </c>
      <c r="W140" s="110" t="s">
        <v>500</v>
      </c>
    </row>
    <row r="141" spans="1:23" s="80" customFormat="1" ht="31.5">
      <c r="A141" s="60" t="s">
        <v>106</v>
      </c>
      <c r="B141" s="64" t="s">
        <v>149</v>
      </c>
      <c r="C141" s="29" t="s">
        <v>144</v>
      </c>
      <c r="D141" s="48" t="s">
        <v>112</v>
      </c>
      <c r="E141" s="76" t="s">
        <v>274</v>
      </c>
      <c r="F141" s="49" t="s">
        <v>29</v>
      </c>
      <c r="G141" s="77">
        <v>48</v>
      </c>
      <c r="H141" s="77" t="s">
        <v>273</v>
      </c>
      <c r="I141" s="78">
        <v>2400</v>
      </c>
      <c r="J141" s="23">
        <f>I141*G141*1.3/1000</f>
        <v>149.76</v>
      </c>
      <c r="K141" s="100" t="s">
        <v>498</v>
      </c>
      <c r="L141" s="79"/>
      <c r="M141" s="79"/>
      <c r="N141" s="79"/>
      <c r="O141" s="73"/>
      <c r="P141" s="73"/>
      <c r="Q141" s="8">
        <f>$J141/4</f>
        <v>37.44</v>
      </c>
      <c r="R141" s="8">
        <f>$J141/4</f>
        <v>37.44</v>
      </c>
      <c r="S141" s="8">
        <f>$J141/4</f>
        <v>37.44</v>
      </c>
      <c r="T141" s="8">
        <f>$J141/4</f>
        <v>37.44</v>
      </c>
      <c r="U141" s="63" t="s">
        <v>231</v>
      </c>
      <c r="V141" s="61">
        <f t="shared" si="40"/>
        <v>0</v>
      </c>
      <c r="W141" s="110" t="s">
        <v>500</v>
      </c>
    </row>
    <row r="142" spans="1:23" s="65" customFormat="1">
      <c r="A142" s="2"/>
      <c r="B142" s="64"/>
      <c r="C142" s="64"/>
      <c r="D142" s="3"/>
      <c r="E142" s="4"/>
      <c r="F142" s="5"/>
      <c r="G142" s="6"/>
      <c r="H142" s="6"/>
      <c r="I142" s="6"/>
      <c r="J142" s="6"/>
      <c r="K142" s="2"/>
      <c r="L142" s="24"/>
      <c r="M142" s="24"/>
      <c r="N142" s="24"/>
      <c r="O142" s="8"/>
      <c r="P142" s="8"/>
      <c r="Q142" s="8"/>
      <c r="R142" s="8"/>
      <c r="S142" s="24"/>
      <c r="T142" s="8"/>
      <c r="U142" s="24"/>
      <c r="V142" s="8"/>
      <c r="W142" s="110" t="s">
        <v>0</v>
      </c>
    </row>
    <row r="143" spans="1:23">
      <c r="A143" s="15"/>
      <c r="B143" s="16"/>
      <c r="C143" s="16" t="s">
        <v>189</v>
      </c>
      <c r="D143" s="3"/>
      <c r="E143" s="4"/>
      <c r="F143" s="5"/>
      <c r="G143" s="6"/>
      <c r="H143" s="6"/>
      <c r="I143" s="23"/>
      <c r="J143" s="23"/>
      <c r="K143" s="21">
        <f>SUM(J144:J149)</f>
        <v>1739.4429000000002</v>
      </c>
      <c r="L143" s="24"/>
      <c r="M143" s="24"/>
      <c r="N143" s="24"/>
      <c r="O143" s="28"/>
      <c r="P143" s="28"/>
      <c r="Q143" s="28"/>
      <c r="R143" s="28"/>
      <c r="S143" s="23"/>
      <c r="T143" s="28"/>
      <c r="U143" s="47"/>
      <c r="V143" s="8"/>
      <c r="W143" s="110" t="s">
        <v>0</v>
      </c>
    </row>
    <row r="144" spans="1:23" ht="31.5">
      <c r="A144" s="60" t="s">
        <v>190</v>
      </c>
      <c r="B144" s="1" t="s">
        <v>110</v>
      </c>
      <c r="C144" s="1" t="s">
        <v>189</v>
      </c>
      <c r="D144" s="3" t="s">
        <v>112</v>
      </c>
      <c r="E144" s="4" t="s">
        <v>191</v>
      </c>
      <c r="F144" s="5" t="s">
        <v>29</v>
      </c>
      <c r="G144" s="6">
        <v>60</v>
      </c>
      <c r="H144" s="6" t="s">
        <v>61</v>
      </c>
      <c r="I144" s="51">
        <v>8132</v>
      </c>
      <c r="J144" s="23">
        <f t="shared" ref="J144:J149" si="44">I144*G144*1.3/1000</f>
        <v>634.29600000000005</v>
      </c>
      <c r="K144" s="100" t="s">
        <v>396</v>
      </c>
      <c r="L144" s="24"/>
      <c r="M144" s="24"/>
      <c r="N144" s="24"/>
      <c r="O144" s="8">
        <f>$J144/4</f>
        <v>158.57400000000001</v>
      </c>
      <c r="P144" s="8">
        <f>$J144/4</f>
        <v>158.57400000000001</v>
      </c>
      <c r="Q144" s="8">
        <f>$J144/4</f>
        <v>158.57400000000001</v>
      </c>
      <c r="R144" s="8">
        <f>$J144/4</f>
        <v>158.57400000000001</v>
      </c>
      <c r="S144" s="24"/>
      <c r="T144" s="8"/>
      <c r="U144" s="24" t="s">
        <v>236</v>
      </c>
      <c r="V144" s="61">
        <f t="shared" ref="V144:V149" si="45">SUM(L144:T144)-J144</f>
        <v>0</v>
      </c>
      <c r="W144" s="110" t="s">
        <v>500</v>
      </c>
    </row>
    <row r="145" spans="1:23">
      <c r="A145" s="60" t="s">
        <v>192</v>
      </c>
      <c r="B145" s="1" t="s">
        <v>110</v>
      </c>
      <c r="C145" s="1" t="s">
        <v>193</v>
      </c>
      <c r="D145" s="3" t="s">
        <v>112</v>
      </c>
      <c r="E145" s="4" t="s">
        <v>194</v>
      </c>
      <c r="F145" s="5" t="s">
        <v>29</v>
      </c>
      <c r="G145" s="6">
        <v>120</v>
      </c>
      <c r="H145" s="6" t="s">
        <v>40</v>
      </c>
      <c r="I145" s="23">
        <v>200</v>
      </c>
      <c r="J145" s="51">
        <f t="shared" si="44"/>
        <v>31.2</v>
      </c>
      <c r="K145" s="68" t="s">
        <v>393</v>
      </c>
      <c r="L145" s="24"/>
      <c r="M145" s="24"/>
      <c r="N145" s="24"/>
      <c r="O145" s="8">
        <f>J145*0.6</f>
        <v>18.72</v>
      </c>
      <c r="P145" s="8">
        <f>J145*0.4</f>
        <v>12.48</v>
      </c>
      <c r="Q145" s="8"/>
      <c r="R145" s="8"/>
      <c r="S145" s="24"/>
      <c r="T145" s="8"/>
      <c r="U145" s="24" t="s">
        <v>236</v>
      </c>
      <c r="V145" s="61">
        <f t="shared" si="45"/>
        <v>0</v>
      </c>
      <c r="W145" s="110" t="s">
        <v>500</v>
      </c>
    </row>
    <row r="146" spans="1:23" ht="47.25">
      <c r="A146" s="60" t="s">
        <v>166</v>
      </c>
      <c r="B146" s="1" t="s">
        <v>110</v>
      </c>
      <c r="C146" s="1" t="s">
        <v>193</v>
      </c>
      <c r="D146" s="3" t="s">
        <v>112</v>
      </c>
      <c r="E146" s="30" t="s">
        <v>195</v>
      </c>
      <c r="F146" s="5" t="s">
        <v>29</v>
      </c>
      <c r="G146" s="6">
        <v>1</v>
      </c>
      <c r="H146" s="6" t="s">
        <v>196</v>
      </c>
      <c r="I146" s="23">
        <v>165002</v>
      </c>
      <c r="J146" s="23">
        <f t="shared" si="44"/>
        <v>214.5026</v>
      </c>
      <c r="K146" s="100" t="s">
        <v>397</v>
      </c>
      <c r="L146" s="24"/>
      <c r="M146" s="24"/>
      <c r="N146" s="24"/>
      <c r="O146" s="8">
        <f>J146*0.6</f>
        <v>128.70156</v>
      </c>
      <c r="P146" s="8">
        <f>J146*0.4</f>
        <v>85.80104</v>
      </c>
      <c r="Q146" s="8"/>
      <c r="R146" s="8"/>
      <c r="S146" s="24"/>
      <c r="T146" s="8"/>
      <c r="U146" s="24" t="s">
        <v>236</v>
      </c>
      <c r="V146" s="61">
        <f t="shared" si="45"/>
        <v>0</v>
      </c>
      <c r="W146" s="110" t="s">
        <v>500</v>
      </c>
    </row>
    <row r="147" spans="1:23" ht="47.25">
      <c r="A147" s="60" t="s">
        <v>190</v>
      </c>
      <c r="B147" s="1" t="s">
        <v>110</v>
      </c>
      <c r="C147" s="1" t="s">
        <v>193</v>
      </c>
      <c r="D147" s="3" t="s">
        <v>112</v>
      </c>
      <c r="E147" s="4" t="s">
        <v>197</v>
      </c>
      <c r="F147" s="5" t="s">
        <v>29</v>
      </c>
      <c r="G147" s="6">
        <v>60</v>
      </c>
      <c r="H147" s="6" t="s">
        <v>140</v>
      </c>
      <c r="I147" s="51">
        <v>4730</v>
      </c>
      <c r="J147" s="23">
        <f t="shared" si="44"/>
        <v>368.94</v>
      </c>
      <c r="K147" s="2" t="s">
        <v>237</v>
      </c>
      <c r="L147" s="24"/>
      <c r="M147" s="24"/>
      <c r="N147" s="24"/>
      <c r="O147" s="8">
        <f>J147*0.6</f>
        <v>221.364</v>
      </c>
      <c r="P147" s="8">
        <f>J147*0.4</f>
        <v>147.57599999999999</v>
      </c>
      <c r="Q147" s="8"/>
      <c r="R147" s="8"/>
      <c r="S147" s="24"/>
      <c r="T147" s="8"/>
      <c r="U147" s="24" t="s">
        <v>236</v>
      </c>
      <c r="V147" s="61">
        <f t="shared" si="45"/>
        <v>0</v>
      </c>
      <c r="W147" s="110" t="s">
        <v>500</v>
      </c>
    </row>
    <row r="148" spans="1:23" ht="31.5">
      <c r="A148" s="60" t="s">
        <v>166</v>
      </c>
      <c r="B148" s="1" t="s">
        <v>110</v>
      </c>
      <c r="C148" s="1" t="s">
        <v>193</v>
      </c>
      <c r="D148" s="3" t="s">
        <v>112</v>
      </c>
      <c r="E148" s="25" t="s">
        <v>238</v>
      </c>
      <c r="F148" s="5" t="s">
        <v>29</v>
      </c>
      <c r="G148" s="6">
        <v>120</v>
      </c>
      <c r="H148" s="6" t="s">
        <v>40</v>
      </c>
      <c r="I148" s="23">
        <f>7311/120</f>
        <v>60.924999999999997</v>
      </c>
      <c r="J148" s="23">
        <f t="shared" si="44"/>
        <v>9.5043000000000006</v>
      </c>
      <c r="K148" s="100" t="s">
        <v>348</v>
      </c>
      <c r="L148" s="24"/>
      <c r="M148" s="24"/>
      <c r="N148" s="24"/>
      <c r="O148" s="8">
        <f>J148*0.6</f>
        <v>5.7025800000000002</v>
      </c>
      <c r="P148" s="8">
        <f>J148*0.4</f>
        <v>3.8017200000000004</v>
      </c>
      <c r="Q148" s="8"/>
      <c r="R148" s="8"/>
      <c r="S148" s="24"/>
      <c r="T148" s="8"/>
      <c r="U148" s="24" t="s">
        <v>236</v>
      </c>
      <c r="V148" s="61">
        <f t="shared" si="45"/>
        <v>0</v>
      </c>
      <c r="W148" s="110" t="s">
        <v>500</v>
      </c>
    </row>
    <row r="149" spans="1:23" s="91" customFormat="1" ht="31.5">
      <c r="A149" s="60" t="s">
        <v>166</v>
      </c>
      <c r="B149" s="90" t="s">
        <v>110</v>
      </c>
      <c r="C149" s="90" t="s">
        <v>349</v>
      </c>
      <c r="D149" s="3" t="s">
        <v>112</v>
      </c>
      <c r="E149" s="25" t="s">
        <v>350</v>
      </c>
      <c r="F149" s="5" t="s">
        <v>29</v>
      </c>
      <c r="G149" s="6">
        <v>1</v>
      </c>
      <c r="H149" s="6" t="s">
        <v>140</v>
      </c>
      <c r="I149" s="23">
        <v>370000</v>
      </c>
      <c r="J149" s="23">
        <f t="shared" si="44"/>
        <v>481</v>
      </c>
      <c r="K149" s="100" t="s">
        <v>348</v>
      </c>
      <c r="L149" s="92"/>
      <c r="M149" s="92"/>
      <c r="N149" s="92"/>
      <c r="O149" s="8">
        <f>J149*0.6</f>
        <v>288.59999999999997</v>
      </c>
      <c r="P149" s="8">
        <f>J149*0.4</f>
        <v>192.4</v>
      </c>
      <c r="Q149" s="8"/>
      <c r="R149" s="8"/>
      <c r="S149" s="92"/>
      <c r="T149" s="8"/>
      <c r="U149" s="92" t="s">
        <v>236</v>
      </c>
      <c r="V149" s="61">
        <f t="shared" si="45"/>
        <v>0</v>
      </c>
      <c r="W149" s="110" t="s">
        <v>500</v>
      </c>
    </row>
    <row r="150" spans="1:23">
      <c r="A150" s="2"/>
      <c r="B150" s="1"/>
      <c r="C150" s="1"/>
      <c r="D150" s="3"/>
      <c r="E150" s="4"/>
      <c r="F150" s="5"/>
      <c r="G150" s="6"/>
      <c r="H150" s="6"/>
      <c r="I150" s="23"/>
      <c r="J150" s="23"/>
      <c r="K150" s="2"/>
      <c r="L150" s="24"/>
      <c r="M150" s="24"/>
      <c r="N150" s="24"/>
      <c r="O150" s="8"/>
      <c r="P150" s="8"/>
      <c r="Q150" s="8"/>
      <c r="R150" s="8"/>
      <c r="S150" s="24"/>
      <c r="T150" s="8"/>
      <c r="U150" s="24"/>
      <c r="V150" s="8"/>
      <c r="W150" s="110" t="s">
        <v>0</v>
      </c>
    </row>
    <row r="151" spans="1:23">
      <c r="A151" s="54"/>
      <c r="B151" s="17"/>
      <c r="C151" s="17" t="s">
        <v>198</v>
      </c>
      <c r="D151" s="3"/>
      <c r="E151" s="19">
        <f>J160+J161</f>
        <v>399.11200000000002</v>
      </c>
      <c r="F151" s="5"/>
      <c r="G151" s="6"/>
      <c r="H151" s="6"/>
      <c r="I151" s="23"/>
      <c r="J151" s="23"/>
      <c r="K151" s="21">
        <f>SUM(J152:J159)+J162</f>
        <v>1158.8616</v>
      </c>
      <c r="L151" s="24"/>
      <c r="M151" s="24"/>
      <c r="N151" s="24"/>
      <c r="O151" s="8"/>
      <c r="P151" s="8"/>
      <c r="Q151" s="8"/>
      <c r="R151" s="8"/>
      <c r="S151" s="24"/>
      <c r="T151" s="8"/>
      <c r="U151" s="24"/>
      <c r="V151" s="8"/>
      <c r="W151" s="110" t="s">
        <v>0</v>
      </c>
    </row>
    <row r="152" spans="1:23" ht="30.75">
      <c r="A152" s="60" t="s">
        <v>166</v>
      </c>
      <c r="B152" s="1" t="s">
        <v>26</v>
      </c>
      <c r="C152" s="1" t="s">
        <v>198</v>
      </c>
      <c r="D152" s="3">
        <v>1</v>
      </c>
      <c r="E152" s="4" t="s">
        <v>199</v>
      </c>
      <c r="F152" s="5" t="s">
        <v>29</v>
      </c>
      <c r="G152" s="50">
        <v>150</v>
      </c>
      <c r="H152" s="6" t="s">
        <v>200</v>
      </c>
      <c r="I152" s="23">
        <v>102</v>
      </c>
      <c r="J152" s="23">
        <f t="shared" ref="J152:J159" si="46">I152*G152*1.3/1000</f>
        <v>19.89</v>
      </c>
      <c r="K152" s="55" t="s">
        <v>351</v>
      </c>
      <c r="L152" s="24"/>
      <c r="M152" s="24"/>
      <c r="N152" s="24"/>
      <c r="O152" s="8">
        <f t="shared" ref="O152:O159" si="47">J152*0.6</f>
        <v>11.933999999999999</v>
      </c>
      <c r="P152" s="8">
        <f t="shared" ref="P152:P159" si="48">J152*0.4</f>
        <v>7.9560000000000004</v>
      </c>
      <c r="Q152" s="8"/>
      <c r="R152" s="8"/>
      <c r="S152" s="24"/>
      <c r="T152" s="8"/>
      <c r="U152" s="24" t="s">
        <v>236</v>
      </c>
      <c r="V152" s="61">
        <f t="shared" ref="V152:V162" si="49">SUM(L152:T152)-J152</f>
        <v>0</v>
      </c>
      <c r="W152" s="110" t="s">
        <v>500</v>
      </c>
    </row>
    <row r="153" spans="1:23" ht="31.5">
      <c r="A153" s="60" t="s">
        <v>166</v>
      </c>
      <c r="B153" s="1" t="s">
        <v>26</v>
      </c>
      <c r="C153" s="1" t="s">
        <v>198</v>
      </c>
      <c r="D153" s="3">
        <v>1</v>
      </c>
      <c r="E153" s="4" t="s">
        <v>201</v>
      </c>
      <c r="F153" s="5" t="s">
        <v>29</v>
      </c>
      <c r="G153" s="50">
        <v>25</v>
      </c>
      <c r="H153" s="6" t="s">
        <v>202</v>
      </c>
      <c r="I153" s="23">
        <v>242</v>
      </c>
      <c r="J153" s="23">
        <f t="shared" si="46"/>
        <v>7.8650000000000002</v>
      </c>
      <c r="K153" s="2" t="s">
        <v>352</v>
      </c>
      <c r="L153" s="24"/>
      <c r="M153" s="24"/>
      <c r="N153" s="24"/>
      <c r="O153" s="8">
        <f t="shared" si="47"/>
        <v>4.7190000000000003</v>
      </c>
      <c r="P153" s="8">
        <f t="shared" si="48"/>
        <v>3.1460000000000004</v>
      </c>
      <c r="Q153" s="8"/>
      <c r="R153" s="8"/>
      <c r="S153" s="24"/>
      <c r="T153" s="8"/>
      <c r="U153" s="24" t="s">
        <v>236</v>
      </c>
      <c r="V153" s="61">
        <f t="shared" si="49"/>
        <v>0</v>
      </c>
      <c r="W153" s="110" t="s">
        <v>500</v>
      </c>
    </row>
    <row r="154" spans="1:23" ht="30.75">
      <c r="A154" s="60" t="s">
        <v>166</v>
      </c>
      <c r="B154" s="1" t="s">
        <v>26</v>
      </c>
      <c r="C154" s="1" t="s">
        <v>198</v>
      </c>
      <c r="D154" s="3">
        <v>1</v>
      </c>
      <c r="E154" s="4" t="s">
        <v>203</v>
      </c>
      <c r="F154" s="5" t="s">
        <v>29</v>
      </c>
      <c r="G154" s="50">
        <v>27</v>
      </c>
      <c r="H154" s="6" t="s">
        <v>204</v>
      </c>
      <c r="I154" s="23">
        <v>7844</v>
      </c>
      <c r="J154" s="23">
        <f t="shared" si="46"/>
        <v>275.32440000000003</v>
      </c>
      <c r="K154" s="55" t="s">
        <v>353</v>
      </c>
      <c r="L154" s="24"/>
      <c r="M154" s="24"/>
      <c r="N154" s="24"/>
      <c r="O154" s="8">
        <f t="shared" si="47"/>
        <v>165.19464000000002</v>
      </c>
      <c r="P154" s="8">
        <f t="shared" si="48"/>
        <v>110.12976000000002</v>
      </c>
      <c r="Q154" s="8"/>
      <c r="R154" s="8"/>
      <c r="S154" s="24"/>
      <c r="T154" s="8"/>
      <c r="U154" s="24" t="s">
        <v>236</v>
      </c>
      <c r="V154" s="61">
        <f t="shared" si="49"/>
        <v>0</v>
      </c>
      <c r="W154" s="110" t="s">
        <v>500</v>
      </c>
    </row>
    <row r="155" spans="1:23" ht="30.75">
      <c r="A155" s="60" t="s">
        <v>166</v>
      </c>
      <c r="B155" s="1" t="s">
        <v>26</v>
      </c>
      <c r="C155" s="1" t="s">
        <v>198</v>
      </c>
      <c r="D155" s="3">
        <v>1</v>
      </c>
      <c r="E155" s="4" t="s">
        <v>205</v>
      </c>
      <c r="F155" s="5" t="s">
        <v>29</v>
      </c>
      <c r="G155" s="50">
        <v>78</v>
      </c>
      <c r="H155" s="6" t="s">
        <v>204</v>
      </c>
      <c r="I155" s="23">
        <v>545</v>
      </c>
      <c r="J155" s="23">
        <f t="shared" si="46"/>
        <v>55.262999999999998</v>
      </c>
      <c r="K155" s="55" t="s">
        <v>354</v>
      </c>
      <c r="L155" s="24"/>
      <c r="M155" s="24"/>
      <c r="N155" s="24"/>
      <c r="O155" s="8">
        <f t="shared" si="47"/>
        <v>33.157799999999995</v>
      </c>
      <c r="P155" s="8">
        <f t="shared" si="48"/>
        <v>22.1052</v>
      </c>
      <c r="Q155" s="8"/>
      <c r="R155" s="8"/>
      <c r="S155" s="24"/>
      <c r="T155" s="8"/>
      <c r="U155" s="24" t="s">
        <v>236</v>
      </c>
      <c r="V155" s="61">
        <f t="shared" si="49"/>
        <v>0</v>
      </c>
      <c r="W155" s="110" t="s">
        <v>500</v>
      </c>
    </row>
    <row r="156" spans="1:23" ht="31.5">
      <c r="A156" s="60" t="s">
        <v>166</v>
      </c>
      <c r="B156" s="1" t="s">
        <v>26</v>
      </c>
      <c r="C156" s="1" t="s">
        <v>198</v>
      </c>
      <c r="D156" s="3">
        <v>1</v>
      </c>
      <c r="E156" s="4" t="s">
        <v>206</v>
      </c>
      <c r="F156" s="5" t="s">
        <v>29</v>
      </c>
      <c r="G156" s="50">
        <v>3000</v>
      </c>
      <c r="H156" s="6" t="s">
        <v>40</v>
      </c>
      <c r="I156" s="23">
        <v>3.1</v>
      </c>
      <c r="J156" s="23">
        <f t="shared" si="46"/>
        <v>12.09</v>
      </c>
      <c r="K156" s="2" t="s">
        <v>355</v>
      </c>
      <c r="L156" s="24"/>
      <c r="M156" s="24"/>
      <c r="N156" s="24"/>
      <c r="O156" s="8">
        <f t="shared" si="47"/>
        <v>7.2539999999999996</v>
      </c>
      <c r="P156" s="8">
        <f t="shared" si="48"/>
        <v>4.8360000000000003</v>
      </c>
      <c r="Q156" s="8"/>
      <c r="R156" s="8"/>
      <c r="S156" s="24"/>
      <c r="T156" s="8"/>
      <c r="U156" s="24" t="s">
        <v>236</v>
      </c>
      <c r="V156" s="61">
        <f t="shared" si="49"/>
        <v>0</v>
      </c>
      <c r="W156" s="110" t="s">
        <v>500</v>
      </c>
    </row>
    <row r="157" spans="1:23" ht="31.5">
      <c r="A157" s="60" t="s">
        <v>166</v>
      </c>
      <c r="B157" s="1" t="s">
        <v>26</v>
      </c>
      <c r="C157" s="1" t="s">
        <v>198</v>
      </c>
      <c r="D157" s="3">
        <v>1</v>
      </c>
      <c r="E157" s="4" t="s">
        <v>207</v>
      </c>
      <c r="F157" s="5" t="s">
        <v>29</v>
      </c>
      <c r="G157" s="50">
        <v>480</v>
      </c>
      <c r="H157" s="6" t="s">
        <v>40</v>
      </c>
      <c r="I157" s="23">
        <v>167.4</v>
      </c>
      <c r="J157" s="23">
        <f t="shared" si="46"/>
        <v>104.4576</v>
      </c>
      <c r="K157" s="56" t="s">
        <v>358</v>
      </c>
      <c r="L157" s="24"/>
      <c r="M157" s="24"/>
      <c r="N157" s="24"/>
      <c r="O157" s="8">
        <f t="shared" si="47"/>
        <v>62.67456</v>
      </c>
      <c r="P157" s="8">
        <f t="shared" si="48"/>
        <v>41.78304</v>
      </c>
      <c r="Q157" s="8"/>
      <c r="R157" s="8"/>
      <c r="S157" s="24"/>
      <c r="T157" s="8"/>
      <c r="U157" s="24" t="s">
        <v>236</v>
      </c>
      <c r="V157" s="61">
        <f t="shared" si="49"/>
        <v>0</v>
      </c>
      <c r="W157" s="110" t="s">
        <v>500</v>
      </c>
    </row>
    <row r="158" spans="1:23" ht="31.5">
      <c r="A158" s="60" t="s">
        <v>166</v>
      </c>
      <c r="B158" s="1" t="s">
        <v>26</v>
      </c>
      <c r="C158" s="1" t="s">
        <v>198</v>
      </c>
      <c r="D158" s="3">
        <v>1</v>
      </c>
      <c r="E158" s="4" t="s">
        <v>208</v>
      </c>
      <c r="F158" s="5" t="s">
        <v>29</v>
      </c>
      <c r="G158" s="50">
        <v>480</v>
      </c>
      <c r="H158" s="6" t="s">
        <v>40</v>
      </c>
      <c r="I158" s="23">
        <v>97.2</v>
      </c>
      <c r="J158" s="23">
        <f t="shared" si="46"/>
        <v>60.652800000000006</v>
      </c>
      <c r="K158" s="2" t="s">
        <v>357</v>
      </c>
      <c r="L158" s="24"/>
      <c r="M158" s="24"/>
      <c r="N158" s="24"/>
      <c r="O158" s="8">
        <f t="shared" si="47"/>
        <v>36.391680000000001</v>
      </c>
      <c r="P158" s="8">
        <f t="shared" si="48"/>
        <v>24.261120000000005</v>
      </c>
      <c r="Q158" s="8"/>
      <c r="R158" s="8"/>
      <c r="S158" s="24"/>
      <c r="T158" s="8"/>
      <c r="U158" s="24" t="s">
        <v>236</v>
      </c>
      <c r="V158" s="61">
        <f t="shared" si="49"/>
        <v>0</v>
      </c>
      <c r="W158" s="110" t="s">
        <v>500</v>
      </c>
    </row>
    <row r="159" spans="1:23" ht="31.5">
      <c r="A159" s="60" t="s">
        <v>166</v>
      </c>
      <c r="B159" s="1" t="s">
        <v>26</v>
      </c>
      <c r="C159" s="1" t="s">
        <v>198</v>
      </c>
      <c r="D159" s="3">
        <v>1</v>
      </c>
      <c r="E159" s="4" t="s">
        <v>209</v>
      </c>
      <c r="F159" s="5" t="s">
        <v>29</v>
      </c>
      <c r="G159" s="6">
        <v>4</v>
      </c>
      <c r="H159" s="6" t="s">
        <v>210</v>
      </c>
      <c r="I159" s="23">
        <v>8440</v>
      </c>
      <c r="J159" s="23">
        <f t="shared" si="46"/>
        <v>43.887999999999998</v>
      </c>
      <c r="K159" s="2" t="s">
        <v>356</v>
      </c>
      <c r="L159" s="24"/>
      <c r="M159" s="24"/>
      <c r="N159" s="24"/>
      <c r="O159" s="8">
        <f t="shared" si="47"/>
        <v>26.332799999999999</v>
      </c>
      <c r="P159" s="8">
        <f t="shared" si="48"/>
        <v>17.555199999999999</v>
      </c>
      <c r="Q159" s="8"/>
      <c r="R159" s="8"/>
      <c r="S159" s="24"/>
      <c r="T159" s="8"/>
      <c r="U159" s="24" t="s">
        <v>236</v>
      </c>
      <c r="V159" s="61">
        <f t="shared" si="49"/>
        <v>0</v>
      </c>
      <c r="W159" s="110" t="s">
        <v>500</v>
      </c>
    </row>
    <row r="160" spans="1:23" ht="47.25">
      <c r="A160" s="60" t="s">
        <v>264</v>
      </c>
      <c r="B160" s="1" t="s">
        <v>149</v>
      </c>
      <c r="C160" s="1" t="s">
        <v>211</v>
      </c>
      <c r="D160" s="3">
        <v>1</v>
      </c>
      <c r="E160" s="4" t="s">
        <v>212</v>
      </c>
      <c r="F160" s="5" t="s">
        <v>55</v>
      </c>
      <c r="G160" s="6">
        <v>2</v>
      </c>
      <c r="H160" s="6" t="s">
        <v>213</v>
      </c>
      <c r="I160" s="23">
        <v>99778</v>
      </c>
      <c r="J160" s="23">
        <f>I160*G160*1/1000</f>
        <v>199.55600000000001</v>
      </c>
      <c r="K160" s="2" t="s">
        <v>517</v>
      </c>
      <c r="L160" s="24"/>
      <c r="M160" s="24"/>
      <c r="N160" s="24"/>
      <c r="O160" s="8">
        <f>J160*0.7</f>
        <v>139.6892</v>
      </c>
      <c r="P160" s="8">
        <f>J160*0.3</f>
        <v>59.866799999999998</v>
      </c>
      <c r="Q160" s="8"/>
      <c r="R160" s="8"/>
      <c r="S160" s="24"/>
      <c r="T160" s="8"/>
      <c r="U160" s="24" t="s">
        <v>233</v>
      </c>
      <c r="V160" s="61">
        <f t="shared" si="49"/>
        <v>0</v>
      </c>
      <c r="W160" s="110" t="s">
        <v>500</v>
      </c>
    </row>
    <row r="161" spans="1:23" ht="47.25">
      <c r="A161" s="60" t="s">
        <v>264</v>
      </c>
      <c r="B161" s="1" t="s">
        <v>149</v>
      </c>
      <c r="C161" s="1" t="s">
        <v>211</v>
      </c>
      <c r="D161" s="3">
        <v>2</v>
      </c>
      <c r="E161" s="4" t="s">
        <v>214</v>
      </c>
      <c r="F161" s="5" t="s">
        <v>55</v>
      </c>
      <c r="G161" s="6">
        <v>2</v>
      </c>
      <c r="H161" s="6" t="s">
        <v>213</v>
      </c>
      <c r="I161" s="23">
        <v>99778</v>
      </c>
      <c r="J161" s="23">
        <f>I161*G161*1/1000</f>
        <v>199.55600000000001</v>
      </c>
      <c r="K161" s="2" t="s">
        <v>517</v>
      </c>
      <c r="L161" s="24"/>
      <c r="M161" s="24"/>
      <c r="N161" s="24"/>
      <c r="O161" s="8"/>
      <c r="P161" s="8"/>
      <c r="Q161" s="8">
        <f>J161*0.7</f>
        <v>139.6892</v>
      </c>
      <c r="R161" s="8">
        <f>J161*0.3</f>
        <v>59.866799999999998</v>
      </c>
      <c r="S161" s="24"/>
      <c r="T161" s="8"/>
      <c r="U161" s="24" t="s">
        <v>233</v>
      </c>
      <c r="V161" s="61">
        <f t="shared" si="49"/>
        <v>0</v>
      </c>
      <c r="W161" s="110" t="s">
        <v>500</v>
      </c>
    </row>
    <row r="162" spans="1:23">
      <c r="A162" s="60" t="s">
        <v>166</v>
      </c>
      <c r="B162" s="1" t="s">
        <v>149</v>
      </c>
      <c r="C162" s="1" t="s">
        <v>198</v>
      </c>
      <c r="D162" s="3">
        <v>2</v>
      </c>
      <c r="E162" s="4" t="s">
        <v>487</v>
      </c>
      <c r="F162" s="5" t="s">
        <v>29</v>
      </c>
      <c r="G162" s="6"/>
      <c r="H162" s="6"/>
      <c r="I162" s="23"/>
      <c r="J162" s="23">
        <f>SUM(J152:J159)</f>
        <v>579.43079999999998</v>
      </c>
      <c r="K162" s="10"/>
      <c r="L162" s="24"/>
      <c r="M162" s="24"/>
      <c r="N162" s="24"/>
      <c r="O162" s="8"/>
      <c r="P162" s="8"/>
      <c r="Q162" s="8">
        <f>J162*0.7</f>
        <v>405.60155999999995</v>
      </c>
      <c r="R162" s="8">
        <f>J162*0.3</f>
        <v>173.82924</v>
      </c>
      <c r="S162" s="24"/>
      <c r="T162" s="8"/>
      <c r="U162" s="24" t="s">
        <v>236</v>
      </c>
      <c r="V162" s="61">
        <f t="shared" si="49"/>
        <v>0</v>
      </c>
      <c r="W162" s="110" t="s">
        <v>500</v>
      </c>
    </row>
    <row r="163" spans="1:23">
      <c r="A163" s="2"/>
      <c r="B163" s="1"/>
      <c r="C163" s="1"/>
      <c r="D163" s="3"/>
      <c r="E163" s="4"/>
      <c r="F163" s="5"/>
      <c r="G163" s="6"/>
      <c r="H163" s="6"/>
      <c r="I163" s="23"/>
      <c r="J163" s="23"/>
      <c r="K163" s="10"/>
      <c r="L163" s="24"/>
      <c r="M163" s="24"/>
      <c r="N163" s="24"/>
      <c r="O163" s="8"/>
      <c r="P163" s="8"/>
      <c r="Q163" s="8"/>
      <c r="R163" s="8"/>
      <c r="S163" s="24"/>
      <c r="T163" s="8"/>
      <c r="U163" s="24"/>
      <c r="V163" s="8"/>
      <c r="W163" s="110" t="s">
        <v>0</v>
      </c>
    </row>
    <row r="164" spans="1:23">
      <c r="A164" s="15"/>
      <c r="B164" s="16"/>
      <c r="C164" s="16" t="s">
        <v>338</v>
      </c>
      <c r="D164" s="3"/>
      <c r="E164" s="57">
        <f>SUM(J168:J177)</f>
        <v>10739.072</v>
      </c>
      <c r="F164" s="5"/>
      <c r="G164" s="6"/>
      <c r="H164" s="6"/>
      <c r="I164" s="23"/>
      <c r="J164" s="23"/>
      <c r="K164" s="21">
        <f>SUM(J165:J167)</f>
        <v>676.39</v>
      </c>
      <c r="L164" s="24"/>
      <c r="M164" s="24"/>
      <c r="N164" s="24"/>
      <c r="O164" s="8"/>
      <c r="P164" s="8"/>
      <c r="Q164" s="8"/>
      <c r="R164" s="8"/>
      <c r="S164" s="24"/>
      <c r="T164" s="8"/>
      <c r="U164" s="24"/>
      <c r="V164" s="8"/>
      <c r="W164" s="110" t="s">
        <v>0</v>
      </c>
    </row>
    <row r="165" spans="1:23" ht="31.5">
      <c r="A165" s="60" t="s">
        <v>215</v>
      </c>
      <c r="B165" s="1" t="s">
        <v>110</v>
      </c>
      <c r="C165" s="1" t="s">
        <v>338</v>
      </c>
      <c r="D165" s="3" t="s">
        <v>112</v>
      </c>
      <c r="E165" s="4" t="s">
        <v>216</v>
      </c>
      <c r="F165" s="5" t="s">
        <v>29</v>
      </c>
      <c r="G165" s="6">
        <v>2</v>
      </c>
      <c r="H165" s="6" t="s">
        <v>170</v>
      </c>
      <c r="I165" s="23">
        <v>21235</v>
      </c>
      <c r="J165" s="23">
        <f>I165*G165*1.3/1000</f>
        <v>55.210999999999999</v>
      </c>
      <c r="K165" s="30" t="s">
        <v>335</v>
      </c>
      <c r="L165" s="24"/>
      <c r="M165" s="24"/>
      <c r="N165" s="24">
        <f>J165</f>
        <v>55.210999999999999</v>
      </c>
      <c r="O165" s="8"/>
      <c r="P165" s="8"/>
      <c r="Q165" s="8"/>
      <c r="R165" s="8"/>
      <c r="S165" s="24"/>
      <c r="T165" s="8"/>
      <c r="U165" s="24" t="s">
        <v>236</v>
      </c>
      <c r="V165" s="61">
        <f t="shared" ref="V165:V177" si="50">SUM(L165:T165)-J165</f>
        <v>0</v>
      </c>
      <c r="W165" s="110" t="s">
        <v>500</v>
      </c>
    </row>
    <row r="166" spans="1:23" ht="31.5">
      <c r="A166" s="60" t="s">
        <v>215</v>
      </c>
      <c r="B166" s="1" t="s">
        <v>110</v>
      </c>
      <c r="C166" s="105" t="s">
        <v>338</v>
      </c>
      <c r="D166" s="3" t="s">
        <v>112</v>
      </c>
      <c r="E166" s="4" t="s">
        <v>217</v>
      </c>
      <c r="F166" s="5" t="s">
        <v>29</v>
      </c>
      <c r="G166" s="6">
        <v>2</v>
      </c>
      <c r="H166" s="6" t="s">
        <v>86</v>
      </c>
      <c r="I166" s="23">
        <v>81415</v>
      </c>
      <c r="J166" s="23">
        <f>I166*G166*1.3/1000</f>
        <v>211.679</v>
      </c>
      <c r="K166" s="30" t="s">
        <v>336</v>
      </c>
      <c r="L166" s="24"/>
      <c r="M166" s="24"/>
      <c r="N166" s="24">
        <f>J166/2</f>
        <v>105.8395</v>
      </c>
      <c r="O166" s="8">
        <f>J166/2</f>
        <v>105.8395</v>
      </c>
      <c r="P166" s="8"/>
      <c r="Q166" s="8"/>
      <c r="R166" s="8"/>
      <c r="S166" s="24"/>
      <c r="T166" s="8"/>
      <c r="U166" s="24" t="s">
        <v>236</v>
      </c>
      <c r="V166" s="61">
        <f t="shared" si="50"/>
        <v>0</v>
      </c>
      <c r="W166" s="110" t="s">
        <v>500</v>
      </c>
    </row>
    <row r="167" spans="1:23">
      <c r="A167" s="60" t="s">
        <v>215</v>
      </c>
      <c r="B167" s="1" t="s">
        <v>110</v>
      </c>
      <c r="C167" s="105" t="s">
        <v>338</v>
      </c>
      <c r="D167" s="3" t="s">
        <v>112</v>
      </c>
      <c r="E167" s="4" t="s">
        <v>218</v>
      </c>
      <c r="F167" s="5" t="s">
        <v>29</v>
      </c>
      <c r="G167" s="6">
        <v>7</v>
      </c>
      <c r="H167" s="6" t="s">
        <v>96</v>
      </c>
      <c r="I167" s="23">
        <v>45000</v>
      </c>
      <c r="J167" s="23">
        <f>I167*G167*1.3/1000</f>
        <v>409.5</v>
      </c>
      <c r="K167" s="100" t="s">
        <v>393</v>
      </c>
      <c r="L167" s="24"/>
      <c r="M167" s="24"/>
      <c r="N167" s="24">
        <f t="shared" ref="N167:T167" si="51">$J167/7</f>
        <v>58.5</v>
      </c>
      <c r="O167" s="24">
        <f t="shared" si="51"/>
        <v>58.5</v>
      </c>
      <c r="P167" s="24">
        <f t="shared" si="51"/>
        <v>58.5</v>
      </c>
      <c r="Q167" s="24">
        <f t="shared" si="51"/>
        <v>58.5</v>
      </c>
      <c r="R167" s="24">
        <f t="shared" si="51"/>
        <v>58.5</v>
      </c>
      <c r="S167" s="24">
        <f t="shared" si="51"/>
        <v>58.5</v>
      </c>
      <c r="T167" s="24">
        <f t="shared" si="51"/>
        <v>58.5</v>
      </c>
      <c r="U167" s="102" t="s">
        <v>236</v>
      </c>
      <c r="V167" s="61">
        <f t="shared" si="50"/>
        <v>0</v>
      </c>
      <c r="W167" s="110" t="s">
        <v>500</v>
      </c>
    </row>
    <row r="168" spans="1:23" ht="47.25">
      <c r="A168" s="60" t="s">
        <v>106</v>
      </c>
      <c r="B168" s="1" t="s">
        <v>110</v>
      </c>
      <c r="C168" s="105" t="s">
        <v>338</v>
      </c>
      <c r="D168" s="3" t="s">
        <v>112</v>
      </c>
      <c r="E168" s="4" t="s">
        <v>219</v>
      </c>
      <c r="F168" s="5" t="s">
        <v>29</v>
      </c>
      <c r="G168" s="6">
        <v>7</v>
      </c>
      <c r="H168" s="6" t="s">
        <v>220</v>
      </c>
      <c r="I168" s="23">
        <v>70000</v>
      </c>
      <c r="J168" s="23">
        <f>I168*G168*1/1000</f>
        <v>490</v>
      </c>
      <c r="K168" s="124" t="s">
        <v>499</v>
      </c>
      <c r="L168" s="24"/>
      <c r="M168" s="1"/>
      <c r="N168" s="24">
        <f>J168</f>
        <v>490</v>
      </c>
      <c r="O168" s="8"/>
      <c r="P168" s="8"/>
      <c r="Q168" s="8"/>
      <c r="R168" s="8"/>
      <c r="S168" s="24"/>
      <c r="T168" s="8"/>
      <c r="U168" s="103" t="s">
        <v>231</v>
      </c>
      <c r="V168" s="61">
        <f t="shared" si="50"/>
        <v>0</v>
      </c>
      <c r="W168" s="110" t="s">
        <v>500</v>
      </c>
    </row>
    <row r="169" spans="1:23">
      <c r="A169" s="60" t="s">
        <v>106</v>
      </c>
      <c r="B169" s="1" t="s">
        <v>110</v>
      </c>
      <c r="C169" s="105" t="s">
        <v>338</v>
      </c>
      <c r="D169" s="3" t="s">
        <v>112</v>
      </c>
      <c r="E169" s="4" t="s">
        <v>221</v>
      </c>
      <c r="F169" s="5" t="s">
        <v>29</v>
      </c>
      <c r="G169" s="6">
        <v>1</v>
      </c>
      <c r="H169" s="6" t="s">
        <v>140</v>
      </c>
      <c r="I169" s="23">
        <v>50000</v>
      </c>
      <c r="J169" s="23">
        <f>I169*G169*1.3/1000</f>
        <v>65</v>
      </c>
      <c r="K169" s="100" t="s">
        <v>393</v>
      </c>
      <c r="L169" s="24"/>
      <c r="M169" s="1"/>
      <c r="N169" s="24">
        <f>J169</f>
        <v>65</v>
      </c>
      <c r="O169" s="8"/>
      <c r="P169" s="8"/>
      <c r="Q169" s="8"/>
      <c r="R169" s="8"/>
      <c r="S169" s="24"/>
      <c r="T169" s="8"/>
      <c r="U169" s="103" t="s">
        <v>231</v>
      </c>
      <c r="V169" s="61">
        <f t="shared" si="50"/>
        <v>0</v>
      </c>
      <c r="W169" s="110" t="s">
        <v>500</v>
      </c>
    </row>
    <row r="170" spans="1:23">
      <c r="A170" s="60" t="s">
        <v>106</v>
      </c>
      <c r="B170" s="1" t="s">
        <v>110</v>
      </c>
      <c r="C170" s="105" t="s">
        <v>338</v>
      </c>
      <c r="D170" s="3" t="s">
        <v>112</v>
      </c>
      <c r="E170" s="4" t="s">
        <v>222</v>
      </c>
      <c r="F170" s="5" t="s">
        <v>29</v>
      </c>
      <c r="G170" s="6">
        <v>7</v>
      </c>
      <c r="H170" s="6" t="s">
        <v>223</v>
      </c>
      <c r="I170" s="23">
        <v>1000000</v>
      </c>
      <c r="J170" s="23">
        <f t="shared" ref="J170:J175" si="52">I170*G170*1/1000</f>
        <v>7000</v>
      </c>
      <c r="K170" s="100" t="s">
        <v>224</v>
      </c>
      <c r="L170" s="24"/>
      <c r="M170" s="24"/>
      <c r="N170" s="24">
        <f t="shared" ref="N170:T170" si="53">$J170/7</f>
        <v>1000</v>
      </c>
      <c r="O170" s="24">
        <f t="shared" si="53"/>
        <v>1000</v>
      </c>
      <c r="P170" s="24">
        <f t="shared" si="53"/>
        <v>1000</v>
      </c>
      <c r="Q170" s="24">
        <f t="shared" si="53"/>
        <v>1000</v>
      </c>
      <c r="R170" s="24">
        <f t="shared" si="53"/>
        <v>1000</v>
      </c>
      <c r="S170" s="24">
        <f t="shared" si="53"/>
        <v>1000</v>
      </c>
      <c r="T170" s="24">
        <f t="shared" si="53"/>
        <v>1000</v>
      </c>
      <c r="U170" s="103" t="s">
        <v>231</v>
      </c>
      <c r="V170" s="61">
        <f t="shared" si="50"/>
        <v>0</v>
      </c>
      <c r="W170" s="110" t="s">
        <v>500</v>
      </c>
    </row>
    <row r="171" spans="1:23" ht="47.25">
      <c r="A171" s="60" t="s">
        <v>106</v>
      </c>
      <c r="B171" s="1" t="s">
        <v>110</v>
      </c>
      <c r="C171" s="105" t="s">
        <v>338</v>
      </c>
      <c r="D171" s="3" t="s">
        <v>112</v>
      </c>
      <c r="E171" s="4" t="s">
        <v>225</v>
      </c>
      <c r="F171" s="5" t="s">
        <v>29</v>
      </c>
      <c r="G171" s="6">
        <v>6</v>
      </c>
      <c r="H171" s="6" t="s">
        <v>226</v>
      </c>
      <c r="I171" s="23">
        <v>374400</v>
      </c>
      <c r="J171" s="23">
        <f t="shared" si="52"/>
        <v>2246.4</v>
      </c>
      <c r="K171" s="100" t="s">
        <v>331</v>
      </c>
      <c r="L171" s="24"/>
      <c r="M171" s="24"/>
      <c r="N171" s="24"/>
      <c r="O171" s="8">
        <f t="shared" ref="O171:T171" si="54">$J171/6</f>
        <v>374.40000000000003</v>
      </c>
      <c r="P171" s="8">
        <f t="shared" si="54"/>
        <v>374.40000000000003</v>
      </c>
      <c r="Q171" s="8">
        <f t="shared" si="54"/>
        <v>374.40000000000003</v>
      </c>
      <c r="R171" s="8">
        <f t="shared" si="54"/>
        <v>374.40000000000003</v>
      </c>
      <c r="S171" s="8">
        <f t="shared" si="54"/>
        <v>374.40000000000003</v>
      </c>
      <c r="T171" s="8">
        <f t="shared" si="54"/>
        <v>374.40000000000003</v>
      </c>
      <c r="U171" s="103" t="s">
        <v>231</v>
      </c>
      <c r="V171" s="61">
        <f t="shared" si="50"/>
        <v>0</v>
      </c>
      <c r="W171" s="110" t="s">
        <v>500</v>
      </c>
    </row>
    <row r="172" spans="1:23" s="91" customFormat="1" ht="31.5">
      <c r="A172" s="60" t="s">
        <v>106</v>
      </c>
      <c r="B172" s="90" t="s">
        <v>110</v>
      </c>
      <c r="C172" s="105" t="s">
        <v>338</v>
      </c>
      <c r="D172" s="3" t="s">
        <v>112</v>
      </c>
      <c r="E172" s="101" t="s">
        <v>339</v>
      </c>
      <c r="F172" s="5" t="s">
        <v>29</v>
      </c>
      <c r="G172" s="6">
        <v>20</v>
      </c>
      <c r="H172" s="6" t="s">
        <v>72</v>
      </c>
      <c r="I172" s="23">
        <f>135770/20</f>
        <v>6788.5</v>
      </c>
      <c r="J172" s="23">
        <f t="shared" si="52"/>
        <v>135.77000000000001</v>
      </c>
      <c r="K172" s="100" t="s">
        <v>359</v>
      </c>
      <c r="L172" s="92"/>
      <c r="M172" s="92"/>
      <c r="N172" s="92">
        <f>J172</f>
        <v>135.77000000000001</v>
      </c>
      <c r="O172" s="8"/>
      <c r="P172" s="8"/>
      <c r="Q172" s="8"/>
      <c r="R172" s="8"/>
      <c r="S172" s="8"/>
      <c r="T172" s="8"/>
      <c r="U172" s="103" t="s">
        <v>231</v>
      </c>
      <c r="V172" s="61">
        <f t="shared" si="50"/>
        <v>0</v>
      </c>
      <c r="W172" s="110" t="s">
        <v>500</v>
      </c>
    </row>
    <row r="173" spans="1:23" s="91" customFormat="1">
      <c r="A173" s="60" t="s">
        <v>106</v>
      </c>
      <c r="B173" s="90" t="s">
        <v>110</v>
      </c>
      <c r="C173" s="105" t="s">
        <v>338</v>
      </c>
      <c r="D173" s="3" t="s">
        <v>112</v>
      </c>
      <c r="E173" s="101" t="s">
        <v>340</v>
      </c>
      <c r="F173" s="5" t="s">
        <v>29</v>
      </c>
      <c r="G173" s="6">
        <v>12</v>
      </c>
      <c r="H173" s="6" t="s">
        <v>72</v>
      </c>
      <c r="I173" s="23">
        <v>796</v>
      </c>
      <c r="J173" s="23">
        <f t="shared" si="52"/>
        <v>9.5519999999999996</v>
      </c>
      <c r="K173" s="100" t="s">
        <v>344</v>
      </c>
      <c r="L173" s="92"/>
      <c r="M173" s="92"/>
      <c r="N173" s="92">
        <f>J173</f>
        <v>9.5519999999999996</v>
      </c>
      <c r="O173" s="8"/>
      <c r="P173" s="8"/>
      <c r="Q173" s="8"/>
      <c r="R173" s="8"/>
      <c r="S173" s="8"/>
      <c r="T173" s="8"/>
      <c r="U173" s="103" t="s">
        <v>231</v>
      </c>
      <c r="V173" s="61">
        <f t="shared" si="50"/>
        <v>0</v>
      </c>
      <c r="W173" s="110" t="s">
        <v>500</v>
      </c>
    </row>
    <row r="174" spans="1:23" s="91" customFormat="1">
      <c r="A174" s="60" t="s">
        <v>106</v>
      </c>
      <c r="B174" s="90" t="s">
        <v>110</v>
      </c>
      <c r="C174" s="105" t="s">
        <v>338</v>
      </c>
      <c r="D174" s="3" t="s">
        <v>112</v>
      </c>
      <c r="E174" s="101" t="s">
        <v>341</v>
      </c>
      <c r="F174" s="5" t="s">
        <v>29</v>
      </c>
      <c r="G174" s="6">
        <v>7</v>
      </c>
      <c r="H174" s="6" t="s">
        <v>362</v>
      </c>
      <c r="I174" s="23">
        <v>46800</v>
      </c>
      <c r="J174" s="23">
        <f t="shared" si="52"/>
        <v>327.60000000000002</v>
      </c>
      <c r="K174" s="100" t="s">
        <v>360</v>
      </c>
      <c r="L174" s="92"/>
      <c r="M174" s="92"/>
      <c r="N174" s="92">
        <f t="shared" ref="N174:T175" si="55">$J174/7</f>
        <v>46.800000000000004</v>
      </c>
      <c r="O174" s="92">
        <f t="shared" si="55"/>
        <v>46.800000000000004</v>
      </c>
      <c r="P174" s="92">
        <f t="shared" si="55"/>
        <v>46.800000000000004</v>
      </c>
      <c r="Q174" s="92">
        <f t="shared" si="55"/>
        <v>46.800000000000004</v>
      </c>
      <c r="R174" s="92">
        <f t="shared" si="55"/>
        <v>46.800000000000004</v>
      </c>
      <c r="S174" s="92">
        <f t="shared" si="55"/>
        <v>46.800000000000004</v>
      </c>
      <c r="T174" s="92">
        <f t="shared" si="55"/>
        <v>46.800000000000004</v>
      </c>
      <c r="U174" s="103" t="s">
        <v>231</v>
      </c>
      <c r="V174" s="61">
        <f t="shared" si="50"/>
        <v>0</v>
      </c>
      <c r="W174" s="110" t="s">
        <v>500</v>
      </c>
    </row>
    <row r="175" spans="1:23" s="91" customFormat="1">
      <c r="A175" s="60" t="s">
        <v>106</v>
      </c>
      <c r="B175" s="90" t="s">
        <v>110</v>
      </c>
      <c r="C175" s="105" t="s">
        <v>338</v>
      </c>
      <c r="D175" s="3" t="s">
        <v>112</v>
      </c>
      <c r="E175" s="101" t="s">
        <v>342</v>
      </c>
      <c r="F175" s="5" t="s">
        <v>29</v>
      </c>
      <c r="G175" s="6">
        <v>7</v>
      </c>
      <c r="H175" s="6" t="s">
        <v>362</v>
      </c>
      <c r="I175" s="23">
        <v>23400</v>
      </c>
      <c r="J175" s="23">
        <f t="shared" si="52"/>
        <v>163.80000000000001</v>
      </c>
      <c r="K175" s="100" t="s">
        <v>361</v>
      </c>
      <c r="L175" s="92"/>
      <c r="M175" s="92"/>
      <c r="N175" s="92">
        <f t="shared" si="55"/>
        <v>23.400000000000002</v>
      </c>
      <c r="O175" s="92">
        <f t="shared" si="55"/>
        <v>23.400000000000002</v>
      </c>
      <c r="P175" s="92">
        <f t="shared" si="55"/>
        <v>23.400000000000002</v>
      </c>
      <c r="Q175" s="92">
        <f t="shared" si="55"/>
        <v>23.400000000000002</v>
      </c>
      <c r="R175" s="92">
        <f t="shared" si="55"/>
        <v>23.400000000000002</v>
      </c>
      <c r="S175" s="92">
        <f t="shared" si="55"/>
        <v>23.400000000000002</v>
      </c>
      <c r="T175" s="92">
        <f t="shared" si="55"/>
        <v>23.400000000000002</v>
      </c>
      <c r="U175" s="103" t="s">
        <v>231</v>
      </c>
      <c r="V175" s="61">
        <f t="shared" si="50"/>
        <v>0</v>
      </c>
      <c r="W175" s="110" t="s">
        <v>500</v>
      </c>
    </row>
    <row r="176" spans="1:23" s="91" customFormat="1">
      <c r="A176" s="60" t="s">
        <v>106</v>
      </c>
      <c r="B176" s="90" t="s">
        <v>110</v>
      </c>
      <c r="C176" s="105" t="s">
        <v>338</v>
      </c>
      <c r="D176" s="3" t="s">
        <v>112</v>
      </c>
      <c r="E176" s="101" t="s">
        <v>343</v>
      </c>
      <c r="F176" s="5" t="s">
        <v>29</v>
      </c>
      <c r="G176" s="6">
        <v>1</v>
      </c>
      <c r="H176" s="6" t="s">
        <v>140</v>
      </c>
      <c r="I176" s="23">
        <v>25000</v>
      </c>
      <c r="J176" s="23">
        <f>I176*G176*1.3/1000</f>
        <v>32.5</v>
      </c>
      <c r="K176" s="100" t="s">
        <v>363</v>
      </c>
      <c r="L176" s="92"/>
      <c r="M176" s="92"/>
      <c r="N176" s="92">
        <f>J176</f>
        <v>32.5</v>
      </c>
      <c r="O176" s="8"/>
      <c r="P176" s="8"/>
      <c r="Q176" s="8"/>
      <c r="R176" s="8"/>
      <c r="S176" s="8"/>
      <c r="T176" s="8"/>
      <c r="U176" s="103" t="s">
        <v>231</v>
      </c>
      <c r="V176" s="61">
        <f t="shared" si="50"/>
        <v>0</v>
      </c>
      <c r="W176" s="110" t="s">
        <v>500</v>
      </c>
    </row>
    <row r="177" spans="1:23" s="106" customFormat="1" ht="31.5">
      <c r="A177" s="60" t="s">
        <v>264</v>
      </c>
      <c r="B177" s="105" t="s">
        <v>110</v>
      </c>
      <c r="C177" s="105" t="s">
        <v>338</v>
      </c>
      <c r="D177" s="3" t="s">
        <v>112</v>
      </c>
      <c r="E177" s="101" t="s">
        <v>374</v>
      </c>
      <c r="F177" s="5" t="s">
        <v>29</v>
      </c>
      <c r="G177" s="6">
        <v>2</v>
      </c>
      <c r="H177" s="6" t="s">
        <v>140</v>
      </c>
      <c r="I177" s="23">
        <v>103250</v>
      </c>
      <c r="J177" s="23">
        <f>I177*G177*1.3/1000</f>
        <v>268.45</v>
      </c>
      <c r="K177" s="100" t="s">
        <v>442</v>
      </c>
      <c r="L177" s="107"/>
      <c r="M177" s="107"/>
      <c r="N177" s="107">
        <f>J177</f>
        <v>268.45</v>
      </c>
      <c r="O177" s="8"/>
      <c r="P177" s="8"/>
      <c r="Q177" s="8"/>
      <c r="R177" s="8"/>
      <c r="S177" s="8"/>
      <c r="T177" s="8"/>
      <c r="U177" s="103" t="s">
        <v>231</v>
      </c>
      <c r="V177" s="61">
        <f t="shared" si="50"/>
        <v>0</v>
      </c>
      <c r="W177" s="110" t="s">
        <v>500</v>
      </c>
    </row>
    <row r="178" spans="1:23">
      <c r="A178" s="2"/>
      <c r="B178" s="1"/>
      <c r="C178" s="29"/>
      <c r="D178" s="3"/>
      <c r="E178" s="4"/>
      <c r="F178" s="5"/>
      <c r="G178" s="6"/>
      <c r="H178" s="6"/>
      <c r="I178" s="23"/>
      <c r="J178" s="23"/>
      <c r="K178" s="2"/>
      <c r="L178" s="24"/>
      <c r="M178" s="24"/>
      <c r="N178" s="24"/>
      <c r="O178" s="8"/>
      <c r="P178" s="8"/>
      <c r="Q178" s="8"/>
      <c r="R178" s="8"/>
      <c r="S178" s="24"/>
      <c r="T178" s="8"/>
      <c r="U178" s="102"/>
      <c r="V178" s="8"/>
      <c r="W178" s="110" t="s">
        <v>0</v>
      </c>
    </row>
    <row r="179" spans="1:23">
      <c r="A179" s="15"/>
      <c r="B179" s="16"/>
      <c r="C179" s="16" t="s">
        <v>227</v>
      </c>
      <c r="D179" s="3"/>
      <c r="E179" s="19">
        <f>J180+J181+J182+J185+J187</f>
        <v>10376.870399999998</v>
      </c>
      <c r="F179" s="5"/>
      <c r="G179" s="6"/>
      <c r="H179" s="6"/>
      <c r="I179" s="23"/>
      <c r="J179" s="23"/>
      <c r="K179" s="96">
        <f>J183+J184+J186</f>
        <v>10106.649599999999</v>
      </c>
      <c r="L179" s="24"/>
      <c r="M179" s="24"/>
      <c r="N179" s="24"/>
      <c r="O179" s="8"/>
      <c r="P179" s="8"/>
      <c r="Q179" s="8"/>
      <c r="R179" s="8"/>
      <c r="S179" s="24"/>
      <c r="T179" s="8"/>
      <c r="U179" s="24"/>
      <c r="V179" s="8"/>
      <c r="W179" s="110" t="s">
        <v>0</v>
      </c>
    </row>
    <row r="180" spans="1:23" ht="31.5">
      <c r="A180" s="60" t="s">
        <v>106</v>
      </c>
      <c r="B180" s="1" t="s">
        <v>110</v>
      </c>
      <c r="C180" s="1" t="s">
        <v>227</v>
      </c>
      <c r="D180" s="3">
        <v>1</v>
      </c>
      <c r="E180" s="4" t="s">
        <v>329</v>
      </c>
      <c r="F180" s="5" t="s">
        <v>55</v>
      </c>
      <c r="G180" s="6">
        <v>6</v>
      </c>
      <c r="H180" s="6" t="s">
        <v>228</v>
      </c>
      <c r="I180" s="78">
        <f>31.98*60*52</f>
        <v>99777.599999999991</v>
      </c>
      <c r="J180" s="23">
        <f>I180*G180*1/1000</f>
        <v>598.66559999999993</v>
      </c>
      <c r="K180" s="100" t="s">
        <v>518</v>
      </c>
      <c r="L180" s="24"/>
      <c r="M180" s="24"/>
      <c r="N180" s="24"/>
      <c r="O180" s="8">
        <f t="shared" ref="O180:T181" si="56">$J180/6</f>
        <v>99.777599999999993</v>
      </c>
      <c r="P180" s="8">
        <f t="shared" si="56"/>
        <v>99.777599999999993</v>
      </c>
      <c r="Q180" s="8">
        <f t="shared" si="56"/>
        <v>99.777599999999993</v>
      </c>
      <c r="R180" s="8">
        <f t="shared" si="56"/>
        <v>99.777599999999993</v>
      </c>
      <c r="S180" s="8">
        <f t="shared" si="56"/>
        <v>99.777599999999993</v>
      </c>
      <c r="T180" s="8">
        <f t="shared" si="56"/>
        <v>99.777599999999993</v>
      </c>
      <c r="U180" s="24" t="s">
        <v>233</v>
      </c>
      <c r="V180" s="61">
        <f t="shared" ref="V180:V187" si="57">SUM(L180:T180)-J180</f>
        <v>0</v>
      </c>
      <c r="W180" s="110" t="s">
        <v>501</v>
      </c>
    </row>
    <row r="181" spans="1:23" s="91" customFormat="1" ht="31.5">
      <c r="A181" s="60" t="s">
        <v>106</v>
      </c>
      <c r="B181" s="90" t="s">
        <v>110</v>
      </c>
      <c r="C181" s="90" t="s">
        <v>227</v>
      </c>
      <c r="D181" s="3">
        <v>1</v>
      </c>
      <c r="E181" s="4" t="s">
        <v>328</v>
      </c>
      <c r="F181" s="5" t="s">
        <v>55</v>
      </c>
      <c r="G181" s="6">
        <v>30</v>
      </c>
      <c r="H181" s="6" t="s">
        <v>228</v>
      </c>
      <c r="I181" s="78">
        <f>31.98*60*52</f>
        <v>99777.599999999991</v>
      </c>
      <c r="J181" s="23">
        <f>I181*G181*1/1000</f>
        <v>2993.3279999999995</v>
      </c>
      <c r="K181" s="100" t="s">
        <v>518</v>
      </c>
      <c r="L181" s="92"/>
      <c r="M181" s="92"/>
      <c r="N181" s="92"/>
      <c r="O181" s="8">
        <f t="shared" si="56"/>
        <v>498.88799999999992</v>
      </c>
      <c r="P181" s="8">
        <f t="shared" si="56"/>
        <v>498.88799999999992</v>
      </c>
      <c r="Q181" s="8">
        <f t="shared" si="56"/>
        <v>498.88799999999992</v>
      </c>
      <c r="R181" s="8">
        <f t="shared" si="56"/>
        <v>498.88799999999992</v>
      </c>
      <c r="S181" s="8">
        <f t="shared" si="56"/>
        <v>498.88799999999992</v>
      </c>
      <c r="T181" s="8">
        <f t="shared" si="56"/>
        <v>498.88799999999992</v>
      </c>
      <c r="U181" s="92" t="s">
        <v>233</v>
      </c>
      <c r="V181" s="61">
        <f t="shared" si="57"/>
        <v>0</v>
      </c>
      <c r="W181" s="110" t="s">
        <v>500</v>
      </c>
    </row>
    <row r="182" spans="1:23" s="91" customFormat="1" ht="31.5">
      <c r="A182" s="60" t="s">
        <v>106</v>
      </c>
      <c r="B182" s="90" t="s">
        <v>149</v>
      </c>
      <c r="C182" s="90" t="s">
        <v>227</v>
      </c>
      <c r="D182" s="3">
        <v>1</v>
      </c>
      <c r="E182" s="4" t="s">
        <v>327</v>
      </c>
      <c r="F182" s="5" t="s">
        <v>55</v>
      </c>
      <c r="G182" s="6">
        <v>4</v>
      </c>
      <c r="H182" s="6" t="s">
        <v>228</v>
      </c>
      <c r="I182" s="78">
        <f>31.98*60*52</f>
        <v>99777.599999999991</v>
      </c>
      <c r="J182" s="23">
        <f>I182*G182*1/1000</f>
        <v>399.11039999999997</v>
      </c>
      <c r="K182" s="100" t="s">
        <v>518</v>
      </c>
      <c r="L182" s="92"/>
      <c r="M182" s="92"/>
      <c r="N182" s="92"/>
      <c r="O182" s="8">
        <f t="shared" ref="O182:R184" si="58">$J182/4</f>
        <v>99.777599999999993</v>
      </c>
      <c r="P182" s="8">
        <f t="shared" si="58"/>
        <v>99.777599999999993</v>
      </c>
      <c r="Q182" s="8">
        <f t="shared" si="58"/>
        <v>99.777599999999993</v>
      </c>
      <c r="R182" s="8">
        <f t="shared" si="58"/>
        <v>99.777599999999993</v>
      </c>
      <c r="S182" s="92" t="s">
        <v>0</v>
      </c>
      <c r="T182" s="8"/>
      <c r="U182" s="92" t="s">
        <v>233</v>
      </c>
      <c r="V182" s="61">
        <f t="shared" si="57"/>
        <v>0</v>
      </c>
      <c r="W182" s="110" t="s">
        <v>501</v>
      </c>
    </row>
    <row r="183" spans="1:23" ht="31.5">
      <c r="A183" s="60" t="s">
        <v>106</v>
      </c>
      <c r="B183" s="1" t="s">
        <v>149</v>
      </c>
      <c r="C183" s="1" t="s">
        <v>227</v>
      </c>
      <c r="D183" s="3">
        <v>1</v>
      </c>
      <c r="E183" s="4" t="s">
        <v>326</v>
      </c>
      <c r="F183" s="5" t="s">
        <v>55</v>
      </c>
      <c r="G183" s="6">
        <v>36</v>
      </c>
      <c r="H183" s="6" t="s">
        <v>228</v>
      </c>
      <c r="I183" s="78">
        <f>31.98*60*52</f>
        <v>99777.599999999991</v>
      </c>
      <c r="J183" s="23">
        <f>I183*G183*1/1000</f>
        <v>3591.9935999999998</v>
      </c>
      <c r="K183" s="100" t="s">
        <v>518</v>
      </c>
      <c r="L183" s="24"/>
      <c r="M183" s="24"/>
      <c r="N183" s="24"/>
      <c r="O183" s="8">
        <f t="shared" si="58"/>
        <v>897.99839999999995</v>
      </c>
      <c r="P183" s="8">
        <f t="shared" si="58"/>
        <v>897.99839999999995</v>
      </c>
      <c r="Q183" s="8">
        <f t="shared" si="58"/>
        <v>897.99839999999995</v>
      </c>
      <c r="R183" s="8">
        <f t="shared" si="58"/>
        <v>897.99839999999995</v>
      </c>
      <c r="S183" s="24" t="s">
        <v>0</v>
      </c>
      <c r="T183" s="8"/>
      <c r="U183" s="24" t="s">
        <v>303</v>
      </c>
      <c r="V183" s="61">
        <f t="shared" si="57"/>
        <v>0</v>
      </c>
      <c r="W183" s="110" t="s">
        <v>500</v>
      </c>
    </row>
    <row r="184" spans="1:23" ht="31.5">
      <c r="A184" s="60" t="s">
        <v>106</v>
      </c>
      <c r="B184" s="1" t="s">
        <v>149</v>
      </c>
      <c r="C184" s="1" t="s">
        <v>227</v>
      </c>
      <c r="D184" s="3">
        <v>1</v>
      </c>
      <c r="E184" s="4" t="s">
        <v>325</v>
      </c>
      <c r="F184" s="5" t="s">
        <v>55</v>
      </c>
      <c r="G184" s="6">
        <v>12</v>
      </c>
      <c r="H184" s="6" t="s">
        <v>228</v>
      </c>
      <c r="I184" s="78">
        <f>31.98*60*52+22000</f>
        <v>121777.59999999999</v>
      </c>
      <c r="J184" s="23">
        <f>I184*G184*1/1000</f>
        <v>1461.3311999999999</v>
      </c>
      <c r="K184" s="100" t="s">
        <v>521</v>
      </c>
      <c r="L184" s="24"/>
      <c r="M184" s="24"/>
      <c r="N184" s="24"/>
      <c r="O184" s="8">
        <f t="shared" si="58"/>
        <v>365.33279999999996</v>
      </c>
      <c r="P184" s="8">
        <f t="shared" si="58"/>
        <v>365.33279999999996</v>
      </c>
      <c r="Q184" s="8">
        <f t="shared" si="58"/>
        <v>365.33279999999996</v>
      </c>
      <c r="R184" s="8">
        <f t="shared" si="58"/>
        <v>365.33279999999996</v>
      </c>
      <c r="S184" s="24" t="s">
        <v>0</v>
      </c>
      <c r="T184" s="8"/>
      <c r="U184" s="24" t="s">
        <v>303</v>
      </c>
      <c r="V184" s="61">
        <f t="shared" si="57"/>
        <v>0</v>
      </c>
      <c r="W184" s="110" t="s">
        <v>500</v>
      </c>
    </row>
    <row r="185" spans="1:23">
      <c r="A185" s="60" t="s">
        <v>106</v>
      </c>
      <c r="B185" s="1" t="s">
        <v>110</v>
      </c>
      <c r="C185" s="1" t="s">
        <v>227</v>
      </c>
      <c r="D185" s="3">
        <v>2</v>
      </c>
      <c r="E185" s="4" t="s">
        <v>306</v>
      </c>
      <c r="F185" s="5" t="s">
        <v>55</v>
      </c>
      <c r="G185" s="6"/>
      <c r="H185" s="6"/>
      <c r="I185" s="78"/>
      <c r="J185" s="23">
        <f>J180+J181+J182</f>
        <v>3991.1039999999994</v>
      </c>
      <c r="K185" s="132"/>
      <c r="L185" s="24"/>
      <c r="M185" s="24"/>
      <c r="N185" s="24"/>
      <c r="O185" s="8"/>
      <c r="P185" s="8"/>
      <c r="Q185" s="8">
        <f t="shared" ref="Q185:T186" si="59">$J185/4</f>
        <v>997.77599999999984</v>
      </c>
      <c r="R185" s="8">
        <f t="shared" si="59"/>
        <v>997.77599999999984</v>
      </c>
      <c r="S185" s="8">
        <f t="shared" si="59"/>
        <v>997.77599999999984</v>
      </c>
      <c r="T185" s="8">
        <f t="shared" si="59"/>
        <v>997.77599999999984</v>
      </c>
      <c r="U185" s="24" t="s">
        <v>233</v>
      </c>
      <c r="V185" s="61">
        <f t="shared" si="57"/>
        <v>0</v>
      </c>
      <c r="W185" s="110" t="s">
        <v>0</v>
      </c>
    </row>
    <row r="186" spans="1:23">
      <c r="A186" s="60" t="s">
        <v>106</v>
      </c>
      <c r="B186" s="1" t="s">
        <v>149</v>
      </c>
      <c r="C186" s="1" t="s">
        <v>227</v>
      </c>
      <c r="D186" s="3">
        <v>2</v>
      </c>
      <c r="E186" s="4" t="s">
        <v>307</v>
      </c>
      <c r="F186" s="5" t="s">
        <v>55</v>
      </c>
      <c r="G186" s="6"/>
      <c r="H186" s="6"/>
      <c r="I186" s="78"/>
      <c r="J186" s="23">
        <f>J183+J184</f>
        <v>5053.3247999999994</v>
      </c>
      <c r="K186" s="100"/>
      <c r="L186" s="24"/>
      <c r="M186" s="24"/>
      <c r="N186" s="24"/>
      <c r="O186" s="8"/>
      <c r="P186" s="8"/>
      <c r="Q186" s="8">
        <f t="shared" si="59"/>
        <v>1263.3311999999999</v>
      </c>
      <c r="R186" s="8">
        <f t="shared" si="59"/>
        <v>1263.3311999999999</v>
      </c>
      <c r="S186" s="8">
        <f t="shared" si="59"/>
        <v>1263.3311999999999</v>
      </c>
      <c r="T186" s="8">
        <f t="shared" si="59"/>
        <v>1263.3311999999999</v>
      </c>
      <c r="U186" s="24" t="s">
        <v>303</v>
      </c>
      <c r="V186" s="61">
        <f t="shared" si="57"/>
        <v>0</v>
      </c>
      <c r="W186" s="110" t="s">
        <v>0</v>
      </c>
    </row>
    <row r="187" spans="1:23" ht="31.5">
      <c r="A187" s="60" t="s">
        <v>106</v>
      </c>
      <c r="B187" s="1" t="s">
        <v>110</v>
      </c>
      <c r="C187" s="1" t="s">
        <v>227</v>
      </c>
      <c r="D187" s="3" t="s">
        <v>112</v>
      </c>
      <c r="E187" s="4" t="s">
        <v>324</v>
      </c>
      <c r="F187" s="5" t="s">
        <v>55</v>
      </c>
      <c r="G187" s="6">
        <v>24</v>
      </c>
      <c r="H187" s="6" t="s">
        <v>228</v>
      </c>
      <c r="I187" s="78">
        <f>31.98*60*52</f>
        <v>99777.599999999991</v>
      </c>
      <c r="J187" s="23">
        <f>I187*G187*1/1000</f>
        <v>2394.6623999999997</v>
      </c>
      <c r="K187" s="2" t="s">
        <v>518</v>
      </c>
      <c r="L187" s="24"/>
      <c r="M187" s="52">
        <f t="shared" ref="M187:T187" si="60">$J187/8</f>
        <v>299.33279999999996</v>
      </c>
      <c r="N187" s="52">
        <f t="shared" si="60"/>
        <v>299.33279999999996</v>
      </c>
      <c r="O187" s="52">
        <f t="shared" si="60"/>
        <v>299.33279999999996</v>
      </c>
      <c r="P187" s="52">
        <f t="shared" si="60"/>
        <v>299.33279999999996</v>
      </c>
      <c r="Q187" s="52">
        <f t="shared" si="60"/>
        <v>299.33279999999996</v>
      </c>
      <c r="R187" s="52">
        <f t="shared" si="60"/>
        <v>299.33279999999996</v>
      </c>
      <c r="S187" s="52">
        <f t="shared" si="60"/>
        <v>299.33279999999996</v>
      </c>
      <c r="T187" s="52">
        <f t="shared" si="60"/>
        <v>299.33279999999996</v>
      </c>
      <c r="U187" s="24" t="s">
        <v>233</v>
      </c>
      <c r="V187" s="61">
        <f t="shared" si="57"/>
        <v>0</v>
      </c>
      <c r="W187" s="110" t="s">
        <v>500</v>
      </c>
    </row>
    <row r="188" spans="1:23">
      <c r="A188" s="2"/>
      <c r="B188" s="1"/>
      <c r="C188" s="1"/>
      <c r="D188" s="3"/>
      <c r="E188" s="4"/>
      <c r="F188" s="5"/>
      <c r="G188" s="6"/>
      <c r="H188" s="6"/>
      <c r="I188" s="23"/>
      <c r="J188" s="23"/>
      <c r="K188" s="2"/>
      <c r="L188" s="24"/>
      <c r="M188" s="24"/>
      <c r="N188" s="24"/>
      <c r="O188" s="8"/>
      <c r="P188" s="8"/>
      <c r="Q188" s="8"/>
      <c r="R188" s="8"/>
      <c r="S188" s="24"/>
      <c r="T188" s="8"/>
      <c r="U188" s="24"/>
      <c r="V188" s="8"/>
    </row>
    <row r="189" spans="1:23">
      <c r="A189" s="15"/>
      <c r="B189" s="16"/>
      <c r="C189" s="16" t="s">
        <v>229</v>
      </c>
      <c r="D189" s="3"/>
      <c r="E189" s="19">
        <f>SUM(J190:J196)</f>
        <v>13655.980799999999</v>
      </c>
      <c r="F189" s="5"/>
      <c r="G189" s="6"/>
      <c r="H189" s="6"/>
      <c r="I189" s="23"/>
      <c r="J189" s="23"/>
      <c r="K189" s="2"/>
      <c r="L189" s="24"/>
      <c r="M189" s="24"/>
      <c r="N189" s="24"/>
      <c r="O189" s="8"/>
      <c r="P189" s="8"/>
      <c r="Q189" s="8"/>
      <c r="R189" s="8"/>
      <c r="S189" s="24"/>
      <c r="T189" s="8"/>
      <c r="U189" s="24"/>
      <c r="V189" s="8"/>
    </row>
    <row r="190" spans="1:23" ht="31.5">
      <c r="A190" s="60" t="s">
        <v>106</v>
      </c>
      <c r="B190" s="1" t="s">
        <v>110</v>
      </c>
      <c r="C190" s="1" t="s">
        <v>229</v>
      </c>
      <c r="D190" s="3" t="s">
        <v>112</v>
      </c>
      <c r="E190" s="4" t="s">
        <v>317</v>
      </c>
      <c r="F190" s="5" t="s">
        <v>55</v>
      </c>
      <c r="G190" s="6">
        <v>6</v>
      </c>
      <c r="H190" s="6" t="s">
        <v>228</v>
      </c>
      <c r="I190" s="78">
        <f>31.98*60*52</f>
        <v>99777.599999999991</v>
      </c>
      <c r="J190" s="78">
        <f t="shared" ref="J190:J196" si="61">I190*G190*1/1000</f>
        <v>598.66559999999993</v>
      </c>
      <c r="K190" s="100" t="s">
        <v>518</v>
      </c>
      <c r="L190" s="24"/>
      <c r="M190" s="24"/>
      <c r="N190" s="24"/>
      <c r="O190" s="8">
        <f t="shared" ref="O190:T196" si="62">$J190/6</f>
        <v>99.777599999999993</v>
      </c>
      <c r="P190" s="8">
        <f t="shared" si="62"/>
        <v>99.777599999999993</v>
      </c>
      <c r="Q190" s="8">
        <f t="shared" si="62"/>
        <v>99.777599999999993</v>
      </c>
      <c r="R190" s="8">
        <f t="shared" si="62"/>
        <v>99.777599999999993</v>
      </c>
      <c r="S190" s="8">
        <f t="shared" si="62"/>
        <v>99.777599999999993</v>
      </c>
      <c r="T190" s="8">
        <f t="shared" si="62"/>
        <v>99.777599999999993</v>
      </c>
      <c r="U190" s="24" t="s">
        <v>233</v>
      </c>
      <c r="V190" s="61">
        <f t="shared" ref="V190:V196" si="63">SUM(L190:T190)-J190</f>
        <v>0</v>
      </c>
      <c r="W190" s="110" t="s">
        <v>501</v>
      </c>
    </row>
    <row r="191" spans="1:23" s="91" customFormat="1" ht="31.5">
      <c r="A191" s="60" t="s">
        <v>106</v>
      </c>
      <c r="B191" s="90" t="s">
        <v>110</v>
      </c>
      <c r="C191" s="90" t="s">
        <v>229</v>
      </c>
      <c r="D191" s="3" t="s">
        <v>112</v>
      </c>
      <c r="E191" s="4" t="s">
        <v>318</v>
      </c>
      <c r="F191" s="5" t="s">
        <v>55</v>
      </c>
      <c r="G191" s="6">
        <v>12</v>
      </c>
      <c r="H191" s="6" t="s">
        <v>228</v>
      </c>
      <c r="I191" s="78">
        <f>31.98*60*52</f>
        <v>99777.599999999991</v>
      </c>
      <c r="J191" s="78">
        <f t="shared" si="61"/>
        <v>1197.3311999999999</v>
      </c>
      <c r="K191" s="100" t="s">
        <v>518</v>
      </c>
      <c r="L191" s="92"/>
      <c r="M191" s="92"/>
      <c r="N191" s="92"/>
      <c r="O191" s="8">
        <f t="shared" si="62"/>
        <v>199.55519999999999</v>
      </c>
      <c r="P191" s="8">
        <f t="shared" si="62"/>
        <v>199.55519999999999</v>
      </c>
      <c r="Q191" s="8">
        <f t="shared" si="62"/>
        <v>199.55519999999999</v>
      </c>
      <c r="R191" s="8">
        <f t="shared" si="62"/>
        <v>199.55519999999999</v>
      </c>
      <c r="S191" s="8">
        <f t="shared" si="62"/>
        <v>199.55519999999999</v>
      </c>
      <c r="T191" s="8">
        <f t="shared" si="62"/>
        <v>199.55519999999999</v>
      </c>
      <c r="U191" s="92" t="s">
        <v>233</v>
      </c>
      <c r="V191" s="61">
        <f t="shared" si="63"/>
        <v>0</v>
      </c>
      <c r="W191" s="110" t="s">
        <v>500</v>
      </c>
    </row>
    <row r="192" spans="1:23" s="91" customFormat="1" ht="31.5">
      <c r="A192" s="60" t="s">
        <v>106</v>
      </c>
      <c r="B192" s="90" t="s">
        <v>110</v>
      </c>
      <c r="C192" s="90" t="s">
        <v>229</v>
      </c>
      <c r="D192" s="3" t="s">
        <v>112</v>
      </c>
      <c r="E192" s="4" t="s">
        <v>319</v>
      </c>
      <c r="F192" s="5" t="s">
        <v>55</v>
      </c>
      <c r="G192" s="6">
        <v>6</v>
      </c>
      <c r="H192" s="6" t="s">
        <v>228</v>
      </c>
      <c r="I192" s="78">
        <f>31.98*60*52</f>
        <v>99777.599999999991</v>
      </c>
      <c r="J192" s="78">
        <f t="shared" si="61"/>
        <v>598.66559999999993</v>
      </c>
      <c r="K192" s="100" t="s">
        <v>518</v>
      </c>
      <c r="L192" s="92"/>
      <c r="M192" s="92"/>
      <c r="N192" s="92"/>
      <c r="O192" s="8">
        <f t="shared" si="62"/>
        <v>99.777599999999993</v>
      </c>
      <c r="P192" s="8">
        <f t="shared" si="62"/>
        <v>99.777599999999993</v>
      </c>
      <c r="Q192" s="8">
        <f t="shared" si="62"/>
        <v>99.777599999999993</v>
      </c>
      <c r="R192" s="8">
        <f t="shared" si="62"/>
        <v>99.777599999999993</v>
      </c>
      <c r="S192" s="8">
        <f t="shared" si="62"/>
        <v>99.777599999999993</v>
      </c>
      <c r="T192" s="8">
        <f t="shared" si="62"/>
        <v>99.777599999999993</v>
      </c>
      <c r="U192" s="92" t="s">
        <v>233</v>
      </c>
      <c r="V192" s="61">
        <f t="shared" si="63"/>
        <v>0</v>
      </c>
      <c r="W192" s="110" t="s">
        <v>501</v>
      </c>
    </row>
    <row r="193" spans="1:23" ht="31.5">
      <c r="A193" s="60" t="s">
        <v>106</v>
      </c>
      <c r="B193" s="1" t="s">
        <v>110</v>
      </c>
      <c r="C193" s="1" t="s">
        <v>229</v>
      </c>
      <c r="D193" s="3" t="s">
        <v>112</v>
      </c>
      <c r="E193" s="4" t="s">
        <v>320</v>
      </c>
      <c r="F193" s="5" t="s">
        <v>55</v>
      </c>
      <c r="G193" s="6">
        <v>12</v>
      </c>
      <c r="H193" s="6" t="s">
        <v>228</v>
      </c>
      <c r="I193" s="78">
        <f>31.98*60*52</f>
        <v>99777.599999999991</v>
      </c>
      <c r="J193" s="78">
        <f t="shared" si="61"/>
        <v>1197.3311999999999</v>
      </c>
      <c r="K193" s="100" t="s">
        <v>518</v>
      </c>
      <c r="L193" s="24"/>
      <c r="M193" s="24"/>
      <c r="N193" s="24"/>
      <c r="O193" s="8">
        <f t="shared" si="62"/>
        <v>199.55519999999999</v>
      </c>
      <c r="P193" s="8">
        <f t="shared" si="62"/>
        <v>199.55519999999999</v>
      </c>
      <c r="Q193" s="8">
        <f t="shared" si="62"/>
        <v>199.55519999999999</v>
      </c>
      <c r="R193" s="8">
        <f t="shared" si="62"/>
        <v>199.55519999999999</v>
      </c>
      <c r="S193" s="8">
        <f t="shared" si="62"/>
        <v>199.55519999999999</v>
      </c>
      <c r="T193" s="8">
        <f t="shared" si="62"/>
        <v>199.55519999999999</v>
      </c>
      <c r="U193" s="24" t="s">
        <v>233</v>
      </c>
      <c r="V193" s="61">
        <f t="shared" si="63"/>
        <v>0</v>
      </c>
      <c r="W193" s="110" t="s">
        <v>500</v>
      </c>
    </row>
    <row r="194" spans="1:23" s="75" customFormat="1" ht="31.5">
      <c r="A194" s="60" t="s">
        <v>106</v>
      </c>
      <c r="B194" s="74" t="s">
        <v>110</v>
      </c>
      <c r="C194" s="74" t="s">
        <v>229</v>
      </c>
      <c r="D194" s="3" t="s">
        <v>112</v>
      </c>
      <c r="E194" s="4" t="s">
        <v>321</v>
      </c>
      <c r="F194" s="5" t="s">
        <v>55</v>
      </c>
      <c r="G194" s="6">
        <v>12</v>
      </c>
      <c r="H194" s="6" t="s">
        <v>228</v>
      </c>
      <c r="I194" s="78">
        <v>90000</v>
      </c>
      <c r="J194" s="78">
        <f t="shared" si="61"/>
        <v>1080</v>
      </c>
      <c r="K194" s="100" t="s">
        <v>519</v>
      </c>
      <c r="L194" s="88"/>
      <c r="M194" s="88"/>
      <c r="N194" s="88"/>
      <c r="O194" s="8">
        <f t="shared" si="62"/>
        <v>180</v>
      </c>
      <c r="P194" s="8">
        <f t="shared" si="62"/>
        <v>180</v>
      </c>
      <c r="Q194" s="8">
        <f t="shared" si="62"/>
        <v>180</v>
      </c>
      <c r="R194" s="8">
        <f t="shared" si="62"/>
        <v>180</v>
      </c>
      <c r="S194" s="8">
        <f t="shared" si="62"/>
        <v>180</v>
      </c>
      <c r="T194" s="8">
        <f t="shared" si="62"/>
        <v>180</v>
      </c>
      <c r="U194" s="88" t="s">
        <v>233</v>
      </c>
      <c r="V194" s="61">
        <f t="shared" si="63"/>
        <v>0</v>
      </c>
      <c r="W194" s="110" t="s">
        <v>500</v>
      </c>
    </row>
    <row r="195" spans="1:23" ht="31.5">
      <c r="A195" s="60" t="s">
        <v>106</v>
      </c>
      <c r="B195" s="1" t="s">
        <v>110</v>
      </c>
      <c r="C195" s="1" t="s">
        <v>229</v>
      </c>
      <c r="D195" s="3" t="s">
        <v>112</v>
      </c>
      <c r="E195" s="4" t="s">
        <v>322</v>
      </c>
      <c r="F195" s="5" t="s">
        <v>55</v>
      </c>
      <c r="G195" s="6">
        <v>72</v>
      </c>
      <c r="H195" s="6" t="s">
        <v>228</v>
      </c>
      <c r="I195" s="78">
        <f>31.98*60*52</f>
        <v>99777.599999999991</v>
      </c>
      <c r="J195" s="78">
        <f t="shared" si="61"/>
        <v>7183.9871999999996</v>
      </c>
      <c r="K195" s="100" t="s">
        <v>518</v>
      </c>
      <c r="L195" s="24"/>
      <c r="M195" s="24"/>
      <c r="N195" s="24"/>
      <c r="O195" s="8">
        <f t="shared" si="62"/>
        <v>1197.3311999999999</v>
      </c>
      <c r="P195" s="8">
        <f t="shared" si="62"/>
        <v>1197.3311999999999</v>
      </c>
      <c r="Q195" s="8">
        <f t="shared" si="62"/>
        <v>1197.3311999999999</v>
      </c>
      <c r="R195" s="8">
        <f t="shared" si="62"/>
        <v>1197.3311999999999</v>
      </c>
      <c r="S195" s="8">
        <f t="shared" si="62"/>
        <v>1197.3311999999999</v>
      </c>
      <c r="T195" s="8">
        <f t="shared" si="62"/>
        <v>1197.3311999999999</v>
      </c>
      <c r="U195" s="24" t="s">
        <v>233</v>
      </c>
      <c r="V195" s="61">
        <f t="shared" si="63"/>
        <v>0</v>
      </c>
      <c r="W195" s="110" t="s">
        <v>500</v>
      </c>
    </row>
    <row r="196" spans="1:23" ht="31.5">
      <c r="A196" s="60" t="s">
        <v>106</v>
      </c>
      <c r="B196" s="1" t="s">
        <v>110</v>
      </c>
      <c r="C196" s="1" t="s">
        <v>229</v>
      </c>
      <c r="D196" s="3" t="s">
        <v>112</v>
      </c>
      <c r="E196" s="4" t="s">
        <v>323</v>
      </c>
      <c r="F196" s="5" t="s">
        <v>55</v>
      </c>
      <c r="G196" s="6">
        <v>18</v>
      </c>
      <c r="H196" s="6" t="s">
        <v>228</v>
      </c>
      <c r="I196" s="78">
        <v>100000</v>
      </c>
      <c r="J196" s="23">
        <f t="shared" si="61"/>
        <v>1800</v>
      </c>
      <c r="K196" s="100" t="s">
        <v>520</v>
      </c>
      <c r="L196" s="24"/>
      <c r="M196" s="24"/>
      <c r="N196" s="24"/>
      <c r="O196" s="8">
        <f t="shared" si="62"/>
        <v>300</v>
      </c>
      <c r="P196" s="8">
        <f t="shared" si="62"/>
        <v>300</v>
      </c>
      <c r="Q196" s="8">
        <f t="shared" si="62"/>
        <v>300</v>
      </c>
      <c r="R196" s="8">
        <f t="shared" si="62"/>
        <v>300</v>
      </c>
      <c r="S196" s="8">
        <f t="shared" si="62"/>
        <v>300</v>
      </c>
      <c r="T196" s="8">
        <f t="shared" si="62"/>
        <v>300</v>
      </c>
      <c r="U196" s="24" t="s">
        <v>233</v>
      </c>
      <c r="V196" s="61">
        <f t="shared" si="63"/>
        <v>0</v>
      </c>
      <c r="W196" s="110" t="s">
        <v>500</v>
      </c>
    </row>
    <row r="197" spans="1:23">
      <c r="A197" s="2"/>
      <c r="B197" s="1"/>
      <c r="C197" s="1"/>
      <c r="D197" s="3"/>
      <c r="E197" s="4"/>
      <c r="F197" s="5"/>
      <c r="G197" s="6"/>
      <c r="H197" s="6"/>
      <c r="I197" s="23"/>
      <c r="J197" s="23"/>
      <c r="K197" s="2"/>
      <c r="L197" s="24"/>
      <c r="M197" s="24"/>
      <c r="N197" s="24"/>
      <c r="O197" s="8"/>
      <c r="P197" s="8"/>
      <c r="Q197" s="8"/>
      <c r="R197" s="8"/>
      <c r="S197" s="24"/>
      <c r="T197" s="8"/>
      <c r="U197" s="24"/>
      <c r="V197" s="8"/>
    </row>
    <row r="198" spans="1:23">
      <c r="A198" s="2"/>
      <c r="B198" s="1"/>
      <c r="C198" s="1"/>
      <c r="D198" s="3"/>
      <c r="E198" s="4"/>
      <c r="F198" s="5"/>
      <c r="G198" s="6"/>
      <c r="H198" s="6"/>
      <c r="I198" s="6"/>
      <c r="J198" s="6"/>
      <c r="K198" s="2"/>
      <c r="L198" s="24"/>
      <c r="M198" s="24"/>
      <c r="N198" s="24"/>
      <c r="O198" s="8"/>
      <c r="P198" s="8"/>
      <c r="Q198" s="8"/>
      <c r="R198" s="8"/>
      <c r="S198" s="24"/>
      <c r="T198" s="8"/>
      <c r="U198" s="24"/>
      <c r="V198" s="8"/>
    </row>
    <row r="199" spans="1:23">
      <c r="A199" s="2"/>
      <c r="B199" s="1"/>
      <c r="C199" s="1"/>
      <c r="D199" s="3"/>
      <c r="E199" s="4"/>
      <c r="F199" s="5"/>
      <c r="G199" s="6"/>
      <c r="H199" s="6"/>
      <c r="I199" s="6"/>
      <c r="J199" s="6"/>
      <c r="K199" s="2"/>
      <c r="L199" s="1"/>
      <c r="M199" s="1"/>
      <c r="N199" s="1"/>
      <c r="O199" s="8"/>
      <c r="P199" s="8"/>
      <c r="Q199" s="8"/>
      <c r="R199" s="8"/>
      <c r="S199" s="1"/>
      <c r="T199" s="8"/>
      <c r="U199" s="1"/>
      <c r="V199" s="8"/>
    </row>
    <row r="200" spans="1:23">
      <c r="A200" s="2"/>
      <c r="B200" s="1"/>
      <c r="C200" s="1"/>
      <c r="D200" s="3"/>
      <c r="E200" s="4"/>
      <c r="F200" s="5"/>
      <c r="G200" s="6"/>
      <c r="H200" s="6"/>
      <c r="I200" s="6"/>
      <c r="J200" s="6"/>
      <c r="K200" s="2"/>
      <c r="L200" s="1"/>
      <c r="M200" s="1"/>
      <c r="N200" s="1"/>
      <c r="O200" s="8"/>
      <c r="P200" s="8"/>
      <c r="Q200" s="8"/>
      <c r="R200" s="8"/>
      <c r="S200" s="1"/>
      <c r="T200" s="8"/>
      <c r="U200" s="1"/>
      <c r="V200" s="8"/>
    </row>
    <row r="201" spans="1:23">
      <c r="A201" s="2"/>
      <c r="B201" s="1"/>
      <c r="C201" s="1"/>
      <c r="D201" s="3"/>
      <c r="E201" s="4"/>
      <c r="F201" s="5"/>
      <c r="G201" s="6"/>
      <c r="H201" s="6"/>
      <c r="I201" s="6"/>
      <c r="J201" s="6"/>
      <c r="K201" s="2"/>
      <c r="L201" s="1"/>
      <c r="M201" s="1"/>
      <c r="N201" s="1"/>
      <c r="O201" s="8"/>
      <c r="P201" s="8"/>
      <c r="Q201" s="8"/>
      <c r="R201" s="8"/>
      <c r="S201" s="1"/>
      <c r="T201" s="8"/>
      <c r="U201" s="1"/>
      <c r="V201" s="8"/>
    </row>
    <row r="202" spans="1:23">
      <c r="A202" s="2"/>
      <c r="B202" s="1"/>
      <c r="C202" s="1"/>
      <c r="D202" s="3"/>
      <c r="E202" s="4"/>
      <c r="F202" s="5"/>
      <c r="G202" s="6"/>
      <c r="H202" s="6"/>
      <c r="I202" s="6"/>
      <c r="J202" s="6"/>
      <c r="K202" s="2"/>
      <c r="L202" s="1"/>
      <c r="M202" s="1"/>
      <c r="N202" s="1"/>
      <c r="O202" s="8"/>
      <c r="P202" s="8"/>
      <c r="Q202" s="8"/>
      <c r="R202" s="8"/>
      <c r="S202" s="1"/>
      <c r="T202" s="8"/>
      <c r="U202" s="1"/>
      <c r="V202" s="8"/>
    </row>
    <row r="203" spans="1:23">
      <c r="A203" s="2"/>
      <c r="B203" s="1"/>
      <c r="C203" s="1"/>
      <c r="D203" s="3"/>
      <c r="E203" s="4"/>
      <c r="F203" s="5"/>
      <c r="G203" s="6"/>
      <c r="H203" s="6"/>
      <c r="I203" s="6"/>
      <c r="J203" s="6"/>
      <c r="K203" s="2"/>
      <c r="L203" s="1"/>
      <c r="M203" s="1"/>
      <c r="N203" s="1"/>
      <c r="O203" s="8"/>
      <c r="P203" s="8"/>
      <c r="Q203" s="8"/>
      <c r="R203" s="8"/>
      <c r="S203" s="1"/>
      <c r="T203" s="8"/>
      <c r="U203" s="1"/>
      <c r="V203" s="8"/>
    </row>
    <row r="204" spans="1:23">
      <c r="A204" s="2"/>
      <c r="B204" s="1"/>
      <c r="C204" s="1"/>
      <c r="D204" s="3"/>
      <c r="E204" s="4"/>
      <c r="F204" s="5"/>
      <c r="G204" s="6"/>
      <c r="H204" s="6"/>
      <c r="I204" s="6"/>
      <c r="J204" s="6"/>
      <c r="K204" s="2"/>
      <c r="L204" s="1"/>
      <c r="M204" s="1"/>
      <c r="N204" s="1"/>
      <c r="O204" s="8"/>
      <c r="P204" s="8"/>
      <c r="Q204" s="8"/>
      <c r="R204" s="8"/>
      <c r="S204" s="1"/>
      <c r="T204" s="8"/>
      <c r="U204" s="1"/>
      <c r="V204" s="8"/>
    </row>
    <row r="205" spans="1:23">
      <c r="A205" s="2"/>
      <c r="B205" s="1"/>
      <c r="C205" s="1"/>
      <c r="D205" s="3"/>
      <c r="E205" s="4"/>
      <c r="F205" s="5"/>
      <c r="G205" s="6"/>
      <c r="H205" s="6"/>
      <c r="I205" s="6"/>
      <c r="J205" s="6"/>
      <c r="K205" s="2"/>
      <c r="L205" s="1"/>
      <c r="M205" s="1"/>
      <c r="N205" s="1"/>
      <c r="O205" s="8"/>
      <c r="P205" s="8"/>
      <c r="Q205" s="8"/>
      <c r="R205" s="8"/>
      <c r="S205" s="1"/>
      <c r="T205" s="8"/>
      <c r="U205" s="1"/>
      <c r="V205" s="8"/>
    </row>
    <row r="206" spans="1:23">
      <c r="A206" s="2"/>
      <c r="B206" s="1"/>
      <c r="C206" s="1"/>
      <c r="D206" s="3"/>
      <c r="E206" s="4"/>
      <c r="F206" s="5"/>
      <c r="G206" s="6"/>
      <c r="H206" s="6"/>
      <c r="I206" s="6"/>
      <c r="J206" s="6"/>
      <c r="K206" s="2"/>
      <c r="L206" s="1"/>
      <c r="M206" s="1"/>
      <c r="N206" s="1"/>
      <c r="O206" s="8"/>
      <c r="P206" s="8"/>
      <c r="Q206" s="8"/>
      <c r="R206" s="8"/>
      <c r="S206" s="1"/>
      <c r="T206" s="8"/>
      <c r="U206" s="1"/>
      <c r="V206" s="8"/>
    </row>
    <row r="207" spans="1:23">
      <c r="A207" s="2"/>
      <c r="B207" s="1"/>
      <c r="C207" s="1"/>
      <c r="D207" s="3"/>
      <c r="E207" s="4"/>
      <c r="F207" s="5"/>
      <c r="G207" s="6"/>
      <c r="H207" s="6"/>
      <c r="I207" s="6"/>
      <c r="J207" s="6"/>
      <c r="K207" s="2"/>
      <c r="L207" s="1"/>
      <c r="M207" s="1"/>
      <c r="N207" s="1"/>
      <c r="O207" s="8"/>
      <c r="P207" s="8"/>
      <c r="Q207" s="8"/>
      <c r="R207" s="8"/>
      <c r="S207" s="1"/>
      <c r="T207" s="8"/>
      <c r="U207" s="1"/>
      <c r="V207" s="8"/>
    </row>
    <row r="208" spans="1:23">
      <c r="A208" s="2"/>
      <c r="B208" s="1"/>
      <c r="C208" s="1"/>
      <c r="D208" s="3"/>
      <c r="E208" s="4"/>
      <c r="F208" s="5"/>
      <c r="G208" s="6"/>
      <c r="H208" s="6"/>
      <c r="I208" s="6"/>
      <c r="J208" s="6"/>
      <c r="K208" s="2"/>
      <c r="L208" s="1"/>
      <c r="M208" s="1"/>
      <c r="N208" s="1"/>
      <c r="O208" s="8"/>
      <c r="P208" s="8"/>
      <c r="Q208" s="8"/>
      <c r="R208" s="8"/>
      <c r="S208" s="1"/>
      <c r="T208" s="8"/>
      <c r="U208" s="1"/>
      <c r="V208" s="8"/>
    </row>
    <row r="209" spans="1:22">
      <c r="A209" s="2"/>
      <c r="B209" s="1"/>
      <c r="C209" s="1"/>
      <c r="D209" s="3"/>
      <c r="E209" s="4"/>
      <c r="F209" s="5"/>
      <c r="G209" s="6"/>
      <c r="H209" s="6"/>
      <c r="I209" s="6"/>
      <c r="J209" s="6"/>
      <c r="K209" s="2"/>
      <c r="L209" s="1"/>
      <c r="M209" s="1"/>
      <c r="N209" s="1"/>
      <c r="O209" s="8"/>
      <c r="P209" s="8"/>
      <c r="Q209" s="8"/>
      <c r="R209" s="8"/>
      <c r="S209" s="1"/>
      <c r="T209" s="8"/>
      <c r="U209" s="1"/>
      <c r="V209" s="8"/>
    </row>
    <row r="210" spans="1:22">
      <c r="A210" s="2"/>
      <c r="B210" s="1"/>
      <c r="C210" s="1"/>
      <c r="D210" s="3"/>
      <c r="E210" s="4"/>
      <c r="F210" s="5"/>
      <c r="G210" s="6"/>
      <c r="H210" s="6"/>
      <c r="I210" s="6"/>
      <c r="J210" s="6"/>
      <c r="K210" s="2"/>
      <c r="L210" s="1"/>
      <c r="M210" s="1"/>
      <c r="N210" s="1"/>
      <c r="O210" s="8"/>
      <c r="P210" s="8"/>
      <c r="Q210" s="8"/>
      <c r="R210" s="8"/>
      <c r="S210" s="1"/>
      <c r="T210" s="8"/>
      <c r="U210" s="1"/>
      <c r="V210" s="8"/>
    </row>
    <row r="211" spans="1:22">
      <c r="A211" s="2"/>
      <c r="B211" s="1"/>
      <c r="C211" s="1"/>
      <c r="D211" s="3"/>
      <c r="E211" s="4"/>
      <c r="F211" s="5"/>
      <c r="G211" s="6"/>
      <c r="H211" s="6"/>
      <c r="I211" s="6"/>
      <c r="J211" s="6"/>
      <c r="K211" s="2"/>
      <c r="L211" s="1"/>
      <c r="M211" s="1"/>
      <c r="N211" s="1"/>
      <c r="O211" s="8"/>
      <c r="P211" s="8"/>
      <c r="Q211" s="8"/>
      <c r="R211" s="8"/>
      <c r="S211" s="1"/>
      <c r="T211" s="8"/>
      <c r="U211" s="1"/>
      <c r="V211" s="8"/>
    </row>
    <row r="212" spans="1:22">
      <c r="A212" s="2"/>
      <c r="B212" s="1"/>
      <c r="C212" s="1"/>
      <c r="D212" s="3"/>
      <c r="E212" s="4"/>
      <c r="F212" s="5"/>
      <c r="G212" s="6"/>
      <c r="H212" s="6"/>
      <c r="I212" s="6"/>
      <c r="J212" s="6"/>
      <c r="K212" s="2"/>
      <c r="L212" s="1"/>
      <c r="M212" s="1"/>
      <c r="N212" s="1"/>
      <c r="O212" s="8"/>
      <c r="P212" s="8"/>
      <c r="Q212" s="8"/>
      <c r="R212" s="8"/>
      <c r="S212" s="1"/>
      <c r="T212" s="8"/>
      <c r="U212" s="1"/>
      <c r="V212" s="8"/>
    </row>
    <row r="213" spans="1:22">
      <c r="A213" s="2"/>
      <c r="B213" s="1"/>
      <c r="C213" s="1"/>
      <c r="D213" s="3"/>
      <c r="E213" s="4"/>
      <c r="F213" s="5"/>
      <c r="G213" s="6"/>
      <c r="H213" s="6"/>
      <c r="I213" s="6"/>
      <c r="J213" s="6"/>
      <c r="K213" s="2"/>
      <c r="L213" s="1"/>
      <c r="M213" s="1"/>
      <c r="N213" s="1"/>
      <c r="O213" s="8"/>
      <c r="P213" s="8"/>
      <c r="Q213" s="8"/>
      <c r="R213" s="8"/>
      <c r="S213" s="1"/>
      <c r="T213" s="8"/>
      <c r="U213" s="1"/>
      <c r="V213" s="8"/>
    </row>
    <row r="214" spans="1:22">
      <c r="A214" s="2"/>
      <c r="B214" s="1"/>
      <c r="C214" s="1"/>
      <c r="D214" s="3"/>
      <c r="E214" s="4"/>
      <c r="F214" s="5"/>
      <c r="G214" s="6"/>
      <c r="H214" s="6"/>
      <c r="I214" s="6"/>
      <c r="J214" s="6"/>
      <c r="K214" s="2"/>
      <c r="L214" s="1"/>
      <c r="M214" s="1"/>
      <c r="N214" s="1"/>
      <c r="O214" s="8"/>
      <c r="P214" s="8"/>
      <c r="Q214" s="8"/>
      <c r="R214" s="8"/>
      <c r="S214" s="1"/>
      <c r="T214" s="8"/>
      <c r="U214" s="1"/>
      <c r="V214" s="8"/>
    </row>
    <row r="215" spans="1:22">
      <c r="A215" s="2"/>
      <c r="B215" s="1"/>
      <c r="C215" s="1"/>
      <c r="D215" s="3"/>
      <c r="E215" s="4"/>
      <c r="F215" s="5"/>
      <c r="G215" s="6"/>
      <c r="H215" s="6"/>
      <c r="I215" s="6"/>
      <c r="J215" s="6"/>
      <c r="K215" s="2"/>
      <c r="L215" s="1"/>
      <c r="M215" s="1"/>
      <c r="N215" s="1"/>
      <c r="O215" s="8"/>
      <c r="P215" s="8"/>
      <c r="Q215" s="8"/>
      <c r="R215" s="8"/>
      <c r="S215" s="1"/>
      <c r="T215" s="8"/>
      <c r="U215" s="1"/>
      <c r="V215" s="8"/>
    </row>
    <row r="216" spans="1:22">
      <c r="A216" s="2"/>
      <c r="B216" s="1"/>
      <c r="C216" s="1"/>
      <c r="D216" s="3"/>
      <c r="E216" s="4"/>
      <c r="F216" s="5"/>
      <c r="G216" s="6"/>
      <c r="H216" s="6"/>
      <c r="I216" s="6"/>
      <c r="J216" s="6"/>
      <c r="K216" s="2"/>
      <c r="L216" s="1"/>
      <c r="M216" s="1"/>
      <c r="N216" s="1"/>
      <c r="O216" s="8"/>
      <c r="P216" s="8"/>
      <c r="Q216" s="8"/>
      <c r="R216" s="8"/>
      <c r="S216" s="1"/>
      <c r="T216" s="8"/>
      <c r="U216" s="1"/>
      <c r="V216" s="8"/>
    </row>
    <row r="217" spans="1:22">
      <c r="A217" s="2"/>
      <c r="B217" s="1"/>
      <c r="C217" s="1"/>
      <c r="D217" s="3"/>
      <c r="E217" s="4"/>
      <c r="F217" s="5"/>
      <c r="G217" s="6"/>
      <c r="H217" s="6"/>
      <c r="I217" s="6"/>
      <c r="J217" s="6"/>
      <c r="K217" s="2"/>
      <c r="L217" s="1"/>
      <c r="M217" s="1"/>
      <c r="N217" s="1"/>
      <c r="O217" s="8"/>
      <c r="P217" s="8"/>
      <c r="Q217" s="8"/>
      <c r="R217" s="8"/>
      <c r="S217" s="1"/>
      <c r="T217" s="8"/>
      <c r="U217" s="1"/>
      <c r="V217" s="8"/>
    </row>
    <row r="218" spans="1:22">
      <c r="A218" s="2"/>
      <c r="B218" s="1"/>
      <c r="C218" s="1"/>
      <c r="D218" s="3"/>
      <c r="E218" s="4"/>
      <c r="F218" s="5"/>
      <c r="G218" s="6"/>
      <c r="H218" s="6"/>
      <c r="I218" s="6"/>
      <c r="J218" s="6"/>
      <c r="K218" s="2"/>
      <c r="L218" s="1"/>
      <c r="M218" s="1"/>
      <c r="N218" s="1"/>
      <c r="O218" s="8"/>
      <c r="P218" s="8"/>
      <c r="Q218" s="8"/>
      <c r="R218" s="8"/>
      <c r="S218" s="1"/>
      <c r="T218" s="8"/>
      <c r="U218" s="1"/>
      <c r="V218" s="8"/>
    </row>
    <row r="219" spans="1:22">
      <c r="A219" s="2"/>
      <c r="B219" s="1"/>
      <c r="C219" s="1"/>
      <c r="D219" s="3"/>
      <c r="E219" s="4"/>
      <c r="F219" s="5"/>
      <c r="G219" s="6"/>
      <c r="H219" s="6"/>
      <c r="I219" s="6"/>
      <c r="J219" s="6"/>
      <c r="K219" s="2"/>
      <c r="L219" s="1"/>
      <c r="M219" s="1"/>
      <c r="N219" s="1"/>
      <c r="O219" s="8"/>
      <c r="P219" s="8"/>
      <c r="Q219" s="8"/>
      <c r="R219" s="8"/>
      <c r="S219" s="1"/>
      <c r="T219" s="8"/>
      <c r="U219" s="1"/>
      <c r="V219" s="8"/>
    </row>
    <row r="220" spans="1:22">
      <c r="A220" s="2"/>
      <c r="B220" s="1"/>
      <c r="C220" s="1"/>
      <c r="D220" s="3"/>
      <c r="E220" s="4"/>
      <c r="F220" s="5"/>
      <c r="G220" s="6"/>
      <c r="H220" s="6"/>
      <c r="I220" s="6"/>
      <c r="J220" s="6"/>
      <c r="K220" s="2"/>
      <c r="L220" s="1"/>
      <c r="M220" s="1"/>
      <c r="N220" s="1"/>
      <c r="O220" s="8"/>
      <c r="P220" s="8"/>
      <c r="Q220" s="8"/>
      <c r="R220" s="8"/>
      <c r="S220" s="1"/>
      <c r="T220" s="8"/>
      <c r="U220" s="1"/>
      <c r="V220" s="8"/>
    </row>
    <row r="221" spans="1:22">
      <c r="A221" s="2"/>
      <c r="B221" s="1"/>
      <c r="C221" s="1"/>
      <c r="D221" s="3"/>
      <c r="E221" s="4"/>
      <c r="F221" s="5"/>
      <c r="G221" s="6"/>
      <c r="H221" s="6"/>
      <c r="I221" s="6"/>
      <c r="J221" s="6"/>
      <c r="K221" s="2"/>
      <c r="L221" s="1"/>
      <c r="M221" s="1"/>
      <c r="N221" s="1"/>
      <c r="O221" s="8"/>
      <c r="P221" s="8"/>
      <c r="Q221" s="8"/>
      <c r="R221" s="8"/>
      <c r="S221" s="1"/>
      <c r="T221" s="8"/>
      <c r="U221" s="1"/>
      <c r="V221" s="8"/>
    </row>
    <row r="222" spans="1:22">
      <c r="A222" s="2"/>
      <c r="B222" s="1"/>
      <c r="C222" s="1"/>
      <c r="D222" s="3"/>
      <c r="E222" s="4"/>
      <c r="F222" s="5"/>
      <c r="G222" s="6"/>
      <c r="H222" s="6"/>
      <c r="I222" s="6"/>
      <c r="J222" s="6"/>
      <c r="K222" s="2"/>
      <c r="L222" s="1"/>
      <c r="M222" s="1"/>
      <c r="N222" s="1"/>
      <c r="O222" s="8"/>
      <c r="P222" s="8"/>
      <c r="Q222" s="8"/>
      <c r="R222" s="8"/>
      <c r="S222" s="1"/>
      <c r="T222" s="8"/>
      <c r="U222" s="1"/>
      <c r="V222" s="8"/>
    </row>
    <row r="223" spans="1:22">
      <c r="A223" s="2"/>
      <c r="B223" s="1"/>
      <c r="C223" s="1"/>
      <c r="D223" s="3"/>
      <c r="E223" s="4"/>
      <c r="F223" s="5"/>
      <c r="G223" s="6"/>
      <c r="H223" s="6"/>
      <c r="I223" s="6"/>
      <c r="J223" s="6"/>
      <c r="K223" s="2"/>
      <c r="L223" s="1"/>
      <c r="M223" s="1"/>
      <c r="N223" s="1"/>
      <c r="O223" s="8"/>
      <c r="P223" s="8"/>
      <c r="Q223" s="8"/>
      <c r="R223" s="8"/>
      <c r="S223" s="1"/>
      <c r="T223" s="8"/>
      <c r="U223" s="1"/>
      <c r="V223" s="8"/>
    </row>
    <row r="224" spans="1:22">
      <c r="A224" s="2"/>
      <c r="B224" s="1"/>
      <c r="C224" s="1"/>
      <c r="D224" s="3"/>
      <c r="E224" s="4"/>
      <c r="F224" s="5"/>
      <c r="G224" s="6"/>
      <c r="H224" s="6"/>
      <c r="I224" s="6"/>
      <c r="J224" s="6"/>
      <c r="K224" s="2"/>
      <c r="L224" s="1"/>
      <c r="M224" s="1"/>
      <c r="N224" s="1"/>
      <c r="O224" s="8"/>
      <c r="P224" s="8"/>
      <c r="Q224" s="8"/>
      <c r="R224" s="8"/>
      <c r="S224" s="1"/>
      <c r="T224" s="8"/>
      <c r="U224" s="1"/>
      <c r="V224" s="8"/>
    </row>
    <row r="225" spans="1:22">
      <c r="A225" s="2"/>
      <c r="B225" s="1"/>
      <c r="C225" s="1"/>
      <c r="D225" s="3"/>
      <c r="E225" s="4"/>
      <c r="F225" s="5"/>
      <c r="G225" s="6"/>
      <c r="H225" s="6"/>
      <c r="I225" s="6"/>
      <c r="J225" s="6"/>
      <c r="K225" s="2"/>
      <c r="L225" s="1"/>
      <c r="M225" s="1"/>
      <c r="N225" s="1"/>
      <c r="O225" s="8"/>
      <c r="P225" s="8"/>
      <c r="Q225" s="8"/>
      <c r="R225" s="8"/>
      <c r="S225" s="1"/>
      <c r="T225" s="8"/>
      <c r="U225" s="1"/>
      <c r="V225" s="8"/>
    </row>
    <row r="226" spans="1:22">
      <c r="A226" s="2"/>
      <c r="B226" s="1"/>
      <c r="C226" s="1"/>
      <c r="D226" s="3"/>
      <c r="E226" s="4"/>
      <c r="F226" s="5"/>
      <c r="G226" s="6"/>
      <c r="H226" s="6"/>
      <c r="I226" s="6"/>
      <c r="J226" s="6"/>
      <c r="K226" s="2"/>
      <c r="L226" s="1"/>
      <c r="M226" s="1"/>
      <c r="N226" s="1"/>
      <c r="O226" s="8"/>
      <c r="P226" s="8"/>
      <c r="Q226" s="8"/>
      <c r="R226" s="8"/>
      <c r="S226" s="1"/>
      <c r="T226" s="8"/>
      <c r="U226" s="1"/>
      <c r="V226" s="8"/>
    </row>
    <row r="227" spans="1:22">
      <c r="A227" s="2"/>
      <c r="B227" s="1"/>
      <c r="C227" s="1"/>
      <c r="D227" s="3"/>
      <c r="E227" s="4"/>
      <c r="F227" s="5"/>
      <c r="G227" s="6"/>
      <c r="H227" s="6"/>
      <c r="I227" s="6"/>
      <c r="J227" s="6"/>
      <c r="K227" s="2"/>
      <c r="L227" s="1"/>
      <c r="M227" s="1"/>
      <c r="N227" s="1"/>
      <c r="O227" s="8"/>
      <c r="P227" s="8"/>
      <c r="Q227" s="8"/>
      <c r="R227" s="8"/>
      <c r="S227" s="1"/>
      <c r="T227" s="8"/>
      <c r="U227" s="1"/>
      <c r="V227" s="8"/>
    </row>
    <row r="228" spans="1:22">
      <c r="A228" s="2"/>
      <c r="B228" s="1"/>
      <c r="C228" s="1"/>
      <c r="D228" s="3"/>
      <c r="E228" s="4"/>
      <c r="F228" s="5"/>
      <c r="G228" s="6"/>
      <c r="H228" s="6"/>
      <c r="I228" s="6"/>
      <c r="J228" s="6"/>
      <c r="K228" s="2"/>
      <c r="L228" s="1"/>
      <c r="M228" s="1"/>
      <c r="N228" s="1"/>
      <c r="O228" s="8"/>
      <c r="P228" s="8"/>
      <c r="Q228" s="8"/>
      <c r="R228" s="8"/>
      <c r="S228" s="1"/>
      <c r="T228" s="8"/>
      <c r="U228" s="1"/>
      <c r="V228" s="8"/>
    </row>
    <row r="229" spans="1:22">
      <c r="A229" s="2"/>
      <c r="B229" s="1"/>
      <c r="C229" s="1"/>
      <c r="D229" s="3"/>
      <c r="E229" s="4"/>
      <c r="F229" s="5"/>
      <c r="G229" s="6"/>
      <c r="H229" s="6"/>
      <c r="I229" s="6"/>
      <c r="J229" s="6"/>
      <c r="K229" s="2"/>
      <c r="L229" s="1"/>
      <c r="M229" s="1"/>
      <c r="N229" s="1"/>
      <c r="O229" s="8"/>
      <c r="P229" s="8"/>
      <c r="Q229" s="8"/>
      <c r="R229" s="8"/>
      <c r="S229" s="1"/>
      <c r="T229" s="8"/>
      <c r="U229" s="1"/>
      <c r="V229" s="8"/>
    </row>
    <row r="230" spans="1:22">
      <c r="A230" s="2"/>
      <c r="B230" s="1"/>
      <c r="C230" s="1"/>
      <c r="D230" s="3"/>
      <c r="E230" s="4"/>
      <c r="F230" s="5"/>
      <c r="G230" s="6"/>
      <c r="H230" s="6"/>
      <c r="I230" s="6"/>
      <c r="J230" s="6"/>
      <c r="K230" s="2"/>
      <c r="L230" s="1"/>
      <c r="M230" s="1"/>
      <c r="N230" s="1"/>
      <c r="O230" s="8"/>
      <c r="P230" s="8"/>
      <c r="Q230" s="8"/>
      <c r="R230" s="8"/>
      <c r="S230" s="1"/>
      <c r="T230" s="8"/>
      <c r="U230" s="1"/>
      <c r="V230" s="8"/>
    </row>
    <row r="231" spans="1:22">
      <c r="A231" s="2"/>
      <c r="B231" s="1"/>
      <c r="C231" s="1"/>
      <c r="D231" s="3"/>
      <c r="E231" s="4"/>
      <c r="F231" s="5"/>
      <c r="G231" s="6"/>
      <c r="H231" s="6"/>
      <c r="I231" s="6"/>
      <c r="J231" s="6"/>
      <c r="K231" s="2"/>
      <c r="L231" s="1"/>
      <c r="M231" s="1"/>
      <c r="N231" s="1"/>
      <c r="O231" s="8"/>
      <c r="P231" s="8"/>
      <c r="Q231" s="8"/>
      <c r="R231" s="8"/>
      <c r="S231" s="1"/>
      <c r="T231" s="8"/>
      <c r="U231" s="1"/>
      <c r="V231" s="8"/>
    </row>
    <row r="232" spans="1:22">
      <c r="A232" s="2"/>
      <c r="B232" s="1"/>
      <c r="C232" s="1"/>
      <c r="D232" s="3"/>
      <c r="E232" s="4"/>
      <c r="F232" s="5"/>
      <c r="G232" s="6"/>
      <c r="H232" s="6"/>
      <c r="I232" s="6"/>
      <c r="J232" s="6"/>
      <c r="K232" s="2"/>
      <c r="L232" s="1"/>
      <c r="M232" s="1"/>
      <c r="N232" s="1"/>
      <c r="O232" s="8"/>
      <c r="P232" s="8"/>
      <c r="Q232" s="8"/>
      <c r="R232" s="8"/>
      <c r="S232" s="1"/>
      <c r="T232" s="8"/>
      <c r="U232" s="1"/>
      <c r="V232" s="8"/>
    </row>
    <row r="233" spans="1:22">
      <c r="A233" s="2"/>
      <c r="B233" s="1"/>
      <c r="C233" s="1"/>
      <c r="D233" s="3"/>
      <c r="E233" s="4"/>
      <c r="F233" s="5"/>
      <c r="G233" s="6"/>
      <c r="H233" s="6"/>
      <c r="I233" s="6"/>
      <c r="J233" s="6"/>
      <c r="K233" s="2"/>
      <c r="L233" s="1"/>
      <c r="M233" s="1"/>
      <c r="N233" s="1"/>
      <c r="O233" s="8"/>
      <c r="P233" s="8"/>
      <c r="Q233" s="8"/>
      <c r="R233" s="8"/>
      <c r="S233" s="1"/>
      <c r="T233" s="8"/>
      <c r="U233" s="1"/>
      <c r="V233" s="8"/>
    </row>
    <row r="234" spans="1:22">
      <c r="A234" s="2"/>
      <c r="B234" s="1"/>
      <c r="C234" s="1"/>
      <c r="D234" s="3"/>
      <c r="E234" s="4"/>
      <c r="F234" s="5"/>
      <c r="G234" s="6"/>
      <c r="H234" s="6"/>
      <c r="I234" s="6"/>
      <c r="J234" s="6"/>
      <c r="K234" s="2"/>
      <c r="L234" s="1"/>
      <c r="M234" s="1"/>
      <c r="N234" s="1"/>
      <c r="O234" s="8"/>
      <c r="P234" s="8"/>
      <c r="Q234" s="8"/>
      <c r="R234" s="8"/>
      <c r="S234" s="1"/>
      <c r="T234" s="8"/>
      <c r="U234" s="1"/>
      <c r="V234" s="8"/>
    </row>
    <row r="235" spans="1:22">
      <c r="A235" s="2"/>
      <c r="B235" s="1"/>
      <c r="C235" s="1"/>
      <c r="D235" s="3"/>
      <c r="E235" s="4"/>
      <c r="F235" s="5"/>
      <c r="G235" s="6"/>
      <c r="H235" s="6"/>
      <c r="I235" s="6"/>
      <c r="J235" s="6"/>
      <c r="K235" s="2"/>
      <c r="L235" s="1"/>
      <c r="M235" s="1"/>
      <c r="N235" s="1"/>
      <c r="O235" s="8"/>
      <c r="P235" s="8"/>
      <c r="Q235" s="8"/>
      <c r="R235" s="8"/>
      <c r="S235" s="1"/>
      <c r="T235" s="8"/>
      <c r="U235" s="1"/>
      <c r="V235" s="8"/>
    </row>
    <row r="236" spans="1:22">
      <c r="A236" s="2"/>
      <c r="B236" s="1"/>
      <c r="C236" s="1"/>
      <c r="D236" s="3"/>
      <c r="E236" s="4"/>
      <c r="F236" s="5"/>
      <c r="G236" s="6"/>
      <c r="H236" s="6"/>
      <c r="I236" s="6"/>
      <c r="J236" s="6"/>
      <c r="K236" s="2"/>
      <c r="L236" s="1"/>
      <c r="M236" s="1"/>
      <c r="N236" s="1"/>
      <c r="O236" s="8"/>
      <c r="P236" s="8"/>
      <c r="Q236" s="8"/>
      <c r="R236" s="8"/>
      <c r="S236" s="1"/>
      <c r="T236" s="8"/>
      <c r="U236" s="1"/>
      <c r="V236" s="8"/>
    </row>
    <row r="237" spans="1:22">
      <c r="A237" s="2"/>
      <c r="B237" s="1"/>
      <c r="C237" s="1"/>
      <c r="D237" s="3"/>
      <c r="E237" s="4"/>
      <c r="F237" s="5"/>
      <c r="G237" s="6"/>
      <c r="H237" s="6"/>
      <c r="I237" s="6"/>
      <c r="J237" s="6"/>
      <c r="K237" s="2"/>
      <c r="L237" s="1"/>
      <c r="M237" s="1"/>
      <c r="N237" s="1"/>
      <c r="O237" s="8"/>
      <c r="P237" s="8"/>
      <c r="Q237" s="8"/>
      <c r="R237" s="8"/>
      <c r="S237" s="1"/>
      <c r="T237" s="8"/>
      <c r="U237" s="1"/>
      <c r="V237" s="8"/>
    </row>
    <row r="238" spans="1:22">
      <c r="A238" s="2"/>
      <c r="B238" s="1"/>
      <c r="C238" s="1"/>
      <c r="D238" s="3"/>
      <c r="E238" s="4"/>
      <c r="F238" s="5"/>
      <c r="G238" s="6"/>
      <c r="H238" s="6"/>
      <c r="I238" s="6"/>
      <c r="J238" s="6"/>
      <c r="K238" s="2"/>
      <c r="L238" s="1"/>
      <c r="M238" s="1"/>
      <c r="N238" s="1"/>
      <c r="O238" s="8"/>
      <c r="P238" s="8"/>
      <c r="Q238" s="8"/>
      <c r="R238" s="8"/>
      <c r="S238" s="1"/>
      <c r="T238" s="8"/>
      <c r="U238" s="1"/>
      <c r="V238" s="8"/>
    </row>
    <row r="239" spans="1:22">
      <c r="A239" s="2"/>
      <c r="B239" s="1"/>
      <c r="C239" s="1"/>
      <c r="D239" s="3"/>
      <c r="E239" s="4"/>
      <c r="F239" s="5"/>
      <c r="G239" s="6"/>
      <c r="H239" s="6"/>
      <c r="I239" s="6"/>
      <c r="J239" s="6"/>
      <c r="K239" s="2"/>
      <c r="L239" s="1"/>
      <c r="M239" s="1"/>
      <c r="N239" s="1"/>
      <c r="O239" s="8"/>
      <c r="P239" s="8"/>
      <c r="Q239" s="8"/>
      <c r="R239" s="8"/>
      <c r="S239" s="1"/>
      <c r="T239" s="8"/>
      <c r="U239" s="1"/>
      <c r="V239" s="8"/>
    </row>
    <row r="240" spans="1:22">
      <c r="A240" s="2"/>
      <c r="B240" s="1"/>
      <c r="C240" s="1"/>
      <c r="D240" s="3"/>
      <c r="E240" s="4"/>
      <c r="F240" s="5"/>
      <c r="G240" s="6"/>
      <c r="H240" s="6"/>
      <c r="I240" s="6"/>
      <c r="J240" s="6"/>
      <c r="K240" s="2"/>
      <c r="L240" s="1"/>
      <c r="M240" s="1"/>
      <c r="N240" s="1"/>
      <c r="O240" s="8"/>
      <c r="P240" s="8"/>
      <c r="Q240" s="8"/>
      <c r="R240" s="8"/>
      <c r="S240" s="1"/>
      <c r="T240" s="8"/>
      <c r="U240" s="1"/>
      <c r="V240" s="8"/>
    </row>
    <row r="241" spans="1:24">
      <c r="A241" s="2"/>
      <c r="B241" s="1"/>
      <c r="C241" s="1"/>
      <c r="D241" s="3"/>
      <c r="E241" s="4"/>
      <c r="F241" s="5"/>
      <c r="G241" s="6"/>
      <c r="H241" s="6"/>
      <c r="I241" s="6"/>
      <c r="J241" s="6"/>
      <c r="K241" s="2"/>
      <c r="L241" s="1"/>
      <c r="M241" s="1"/>
      <c r="N241" s="1"/>
      <c r="O241" s="8"/>
      <c r="P241" s="8"/>
      <c r="Q241" s="8"/>
      <c r="R241" s="8"/>
      <c r="S241" s="1"/>
      <c r="T241" s="8"/>
      <c r="U241" s="1"/>
      <c r="V241" s="8"/>
    </row>
    <row r="242" spans="1:24">
      <c r="A242" s="2"/>
      <c r="B242" s="1"/>
      <c r="C242" s="1"/>
      <c r="D242" s="3"/>
      <c r="E242" s="4"/>
      <c r="F242" s="5"/>
      <c r="G242" s="6"/>
      <c r="H242" s="6"/>
      <c r="I242" s="6"/>
      <c r="J242" s="6"/>
      <c r="K242" s="2"/>
      <c r="L242" s="1"/>
      <c r="M242" s="1"/>
      <c r="N242" s="1"/>
      <c r="O242" s="8"/>
      <c r="P242" s="8"/>
      <c r="Q242" s="8"/>
      <c r="R242" s="8"/>
      <c r="S242" s="1"/>
      <c r="T242" s="8"/>
      <c r="U242" s="1"/>
      <c r="V242" s="8"/>
    </row>
    <row r="243" spans="1:24">
      <c r="A243" s="2"/>
      <c r="B243" s="1"/>
      <c r="C243" s="1"/>
      <c r="D243" s="3"/>
      <c r="E243" s="4"/>
      <c r="F243" s="5"/>
      <c r="G243" s="6"/>
      <c r="H243" s="6"/>
      <c r="I243" s="6"/>
      <c r="J243" s="6"/>
      <c r="K243" s="2"/>
      <c r="L243" s="1"/>
      <c r="M243" s="1"/>
      <c r="N243" s="1"/>
      <c r="O243" s="8"/>
      <c r="P243" s="8"/>
      <c r="Q243" s="8"/>
      <c r="R243" s="8"/>
      <c r="S243" s="1"/>
      <c r="T243" s="8"/>
      <c r="U243" s="1"/>
      <c r="V243" s="8"/>
    </row>
    <row r="244" spans="1:24">
      <c r="A244" s="2"/>
      <c r="B244" s="1"/>
      <c r="C244" s="1"/>
      <c r="D244" s="3"/>
      <c r="E244" s="4"/>
      <c r="F244" s="5"/>
      <c r="G244" s="6"/>
      <c r="H244" s="6"/>
      <c r="I244" s="6"/>
      <c r="J244" s="6"/>
      <c r="K244" s="2"/>
      <c r="L244" s="1"/>
      <c r="M244" s="1"/>
      <c r="N244" s="1"/>
      <c r="O244" s="8"/>
      <c r="P244" s="8"/>
      <c r="Q244" s="8"/>
      <c r="R244" s="8"/>
      <c r="S244" s="1"/>
      <c r="T244" s="8"/>
      <c r="U244" s="1"/>
      <c r="V244" s="8"/>
    </row>
    <row r="245" spans="1:24">
      <c r="A245" s="2"/>
      <c r="B245" s="1"/>
      <c r="C245" s="1"/>
      <c r="D245" s="1"/>
      <c r="E245" s="2"/>
      <c r="F245" s="1"/>
      <c r="G245" s="1"/>
      <c r="H245" s="1"/>
      <c r="I245" s="1"/>
      <c r="J245" s="1"/>
      <c r="K245" s="2"/>
      <c r="L245" s="1"/>
      <c r="M245" s="1"/>
      <c r="N245" s="1"/>
      <c r="O245" s="8"/>
      <c r="P245" s="8"/>
      <c r="Q245" s="8"/>
      <c r="R245" s="8"/>
      <c r="S245" s="1"/>
      <c r="T245" s="8"/>
      <c r="U245" s="1"/>
      <c r="V245" s="8"/>
    </row>
    <row r="246" spans="1:24">
      <c r="A246" s="2"/>
      <c r="B246" s="1"/>
      <c r="C246" s="1"/>
      <c r="D246" s="1"/>
      <c r="E246" s="2"/>
      <c r="F246" s="1"/>
      <c r="G246" s="1"/>
      <c r="H246" s="1"/>
      <c r="I246" s="1"/>
      <c r="J246" s="1"/>
      <c r="K246" s="2"/>
      <c r="L246" s="1"/>
      <c r="M246" s="1"/>
      <c r="N246" s="1"/>
      <c r="O246" s="8"/>
      <c r="P246" s="8"/>
      <c r="Q246" s="8"/>
      <c r="R246" s="8"/>
      <c r="S246" s="1"/>
      <c r="T246" s="8"/>
      <c r="U246" s="1"/>
      <c r="V246" s="8"/>
    </row>
    <row r="247" spans="1:24">
      <c r="A247" s="2"/>
      <c r="B247" s="1"/>
      <c r="C247" s="1"/>
      <c r="D247" s="1"/>
      <c r="E247" s="2"/>
      <c r="F247" s="1"/>
      <c r="G247" s="1"/>
      <c r="H247" s="1"/>
      <c r="I247" s="1"/>
      <c r="J247" s="1"/>
      <c r="K247" s="2"/>
      <c r="L247" s="1"/>
      <c r="M247" s="1"/>
      <c r="N247" s="1"/>
      <c r="O247" s="8"/>
      <c r="P247" s="8"/>
      <c r="Q247" s="8"/>
      <c r="R247" s="8"/>
      <c r="S247" s="1"/>
      <c r="T247" s="8"/>
      <c r="U247" s="1"/>
      <c r="V247" s="8"/>
    </row>
    <row r="248" spans="1:24">
      <c r="A248" s="2"/>
      <c r="B248" s="1"/>
      <c r="C248" s="1"/>
      <c r="D248" s="1"/>
      <c r="E248" s="2"/>
      <c r="F248" s="1"/>
      <c r="G248" s="1"/>
      <c r="H248" s="1"/>
      <c r="I248" s="1"/>
      <c r="J248" s="1"/>
      <c r="K248" s="2"/>
      <c r="L248" s="1"/>
      <c r="M248" s="1"/>
      <c r="N248" s="1"/>
      <c r="O248" s="8"/>
      <c r="P248" s="8"/>
      <c r="Q248" s="8"/>
      <c r="R248" s="8"/>
      <c r="S248" s="1"/>
      <c r="T248" s="8"/>
      <c r="U248" s="1"/>
      <c r="V248" s="8"/>
    </row>
    <row r="249" spans="1:24">
      <c r="A249" s="2"/>
      <c r="B249" s="1"/>
      <c r="C249" s="1"/>
      <c r="D249" s="1"/>
      <c r="E249" s="2"/>
      <c r="F249" s="1"/>
      <c r="G249" s="1"/>
      <c r="H249" s="1"/>
      <c r="I249" s="1"/>
      <c r="J249" s="1"/>
      <c r="K249" s="2"/>
      <c r="L249" s="1"/>
      <c r="M249" s="1"/>
      <c r="N249" s="1"/>
      <c r="O249" s="8"/>
      <c r="P249" s="8"/>
      <c r="Q249" s="8"/>
      <c r="R249" s="8"/>
      <c r="S249" s="1"/>
      <c r="T249" s="8"/>
      <c r="U249" s="1"/>
      <c r="V249" s="8"/>
    </row>
    <row r="250" spans="1:24">
      <c r="A250" s="1"/>
      <c r="B250" s="1"/>
      <c r="C250" s="1"/>
      <c r="D250" s="1"/>
      <c r="E250" s="2"/>
      <c r="F250" s="1" t="s">
        <v>0</v>
      </c>
      <c r="G250" s="1"/>
      <c r="H250" s="1" t="s">
        <v>304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4">
      <c r="A251" s="2"/>
      <c r="B251" s="1"/>
      <c r="C251" s="1"/>
      <c r="D251" s="1"/>
      <c r="E251" s="2"/>
      <c r="F251" s="1"/>
      <c r="G251" s="1"/>
      <c r="H251" s="1"/>
      <c r="I251" s="1"/>
      <c r="J251" s="1"/>
      <c r="K251" s="2"/>
      <c r="L251" s="1"/>
      <c r="M251" s="1"/>
      <c r="N251" s="1"/>
      <c r="O251" s="8"/>
      <c r="P251" s="8"/>
      <c r="Q251" s="8"/>
      <c r="R251" s="8"/>
      <c r="S251" s="1"/>
      <c r="T251" s="8"/>
      <c r="U251" s="1"/>
      <c r="V251" s="8"/>
    </row>
    <row r="252" spans="1:24">
      <c r="A252" s="1"/>
      <c r="B252" s="1"/>
      <c r="C252" s="1"/>
      <c r="D252" s="1"/>
      <c r="E252" s="2" t="s">
        <v>231</v>
      </c>
      <c r="F252" s="24" t="s">
        <v>0</v>
      </c>
      <c r="G252" s="24"/>
      <c r="H252" s="24">
        <f>E55+E63+E78+E90+E105+E164</f>
        <v>24242.675650000001</v>
      </c>
      <c r="I252" s="1"/>
      <c r="J252" s="1" t="s">
        <v>232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2" t="s">
        <v>233</v>
      </c>
      <c r="F253" s="24" t="s">
        <v>0</v>
      </c>
      <c r="G253" s="1"/>
      <c r="H253" s="24">
        <f>E7+E41+E151+E179+E189</f>
        <v>25419.761439999995</v>
      </c>
      <c r="I253" s="1"/>
      <c r="J253" s="1" t="s">
        <v>234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2" t="s">
        <v>302</v>
      </c>
      <c r="F254" s="24" t="s">
        <v>0</v>
      </c>
      <c r="G254" s="1"/>
      <c r="H254" s="24">
        <f>K7+K41+K47+K78+K105+K143+K151+K164</f>
        <v>24830.624872000004</v>
      </c>
      <c r="I254" s="1"/>
      <c r="J254" s="1" t="s">
        <v>305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2" t="s">
        <v>303</v>
      </c>
      <c r="F255" s="24" t="s">
        <v>0</v>
      </c>
      <c r="G255" s="1"/>
      <c r="H255" s="24">
        <f>K179</f>
        <v>10106.649599999999</v>
      </c>
      <c r="I255" s="1"/>
      <c r="J255" s="1" t="s">
        <v>235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4">
      <c r="A256" s="1"/>
      <c r="B256" s="1"/>
      <c r="C256" s="1"/>
      <c r="D256" s="1"/>
      <c r="E256" s="2"/>
      <c r="F256" s="24"/>
      <c r="G256" s="1"/>
      <c r="H256" s="2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5:8">
      <c r="E257" s="2" t="s">
        <v>523</v>
      </c>
      <c r="H257" s="87">
        <f>SUM(H252:H255)</f>
        <v>84599.711561999997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2620-FC0C-4CD2-AAB0-1E1633CD3274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8"/>
  <sheetViews>
    <sheetView topLeftCell="A241" zoomScale="150" zoomScaleNormal="150" zoomScalePageLayoutView="150" workbookViewId="0">
      <selection activeCell="C4" sqref="C4"/>
    </sheetView>
  </sheetViews>
  <sheetFormatPr defaultColWidth="11" defaultRowHeight="15.75"/>
  <cols>
    <col min="1" max="1" width="12.875" customWidth="1"/>
    <col min="2" max="2" width="32.375" customWidth="1"/>
    <col min="3" max="3" width="10.875" style="110"/>
    <col min="4" max="4" width="17.375" customWidth="1"/>
    <col min="5" max="5" width="14.375" customWidth="1"/>
    <col min="10" max="11" width="10.875" style="137"/>
    <col min="26" max="26" width="13.5" customWidth="1"/>
  </cols>
  <sheetData>
    <row r="1" spans="1:26">
      <c r="B1" t="s">
        <v>364</v>
      </c>
      <c r="C1" s="111">
        <v>43747</v>
      </c>
    </row>
    <row r="3" spans="1:26">
      <c r="A3" s="97">
        <v>7.8E-2</v>
      </c>
      <c r="B3" s="97" t="s">
        <v>367</v>
      </c>
      <c r="C3" s="3"/>
    </row>
    <row r="4" spans="1:26" s="98" customFormat="1">
      <c r="A4" s="97">
        <v>1.7999999999999999E-2</v>
      </c>
      <c r="B4" s="97" t="s">
        <v>503</v>
      </c>
      <c r="C4" s="3"/>
      <c r="J4" s="137"/>
      <c r="K4" s="137"/>
    </row>
    <row r="5" spans="1:26" s="98" customFormat="1">
      <c r="A5" s="97">
        <v>1.48</v>
      </c>
      <c r="B5" s="97" t="s">
        <v>368</v>
      </c>
      <c r="C5" s="3"/>
      <c r="J5" s="137"/>
      <c r="K5" s="137"/>
    </row>
    <row r="6" spans="1:26" s="98" customFormat="1">
      <c r="A6" s="97">
        <v>0.1</v>
      </c>
      <c r="B6" s="144" t="s">
        <v>504</v>
      </c>
      <c r="C6" s="3"/>
      <c r="J6" s="137"/>
      <c r="K6" s="137"/>
    </row>
    <row r="7" spans="1:26" s="98" customFormat="1">
      <c r="A7" s="97">
        <v>0.2</v>
      </c>
      <c r="B7" s="97" t="s">
        <v>505</v>
      </c>
      <c r="C7" s="3"/>
      <c r="J7" s="137"/>
      <c r="K7" s="137"/>
    </row>
    <row r="8" spans="1:26">
      <c r="A8" s="97">
        <v>0.09</v>
      </c>
      <c r="B8" s="97" t="s">
        <v>312</v>
      </c>
      <c r="C8" s="3"/>
    </row>
    <row r="9" spans="1:26">
      <c r="A9" s="97">
        <v>0.12</v>
      </c>
      <c r="B9" s="97" t="s">
        <v>313</v>
      </c>
      <c r="C9" s="3"/>
      <c r="M9" s="98" t="s">
        <v>373</v>
      </c>
      <c r="N9" s="87">
        <f>SUM(O9:W9)</f>
        <v>74000.574255155108</v>
      </c>
      <c r="O9" s="87">
        <f t="shared" ref="O9:W9" si="0">O11-O10</f>
        <v>0</v>
      </c>
      <c r="P9" s="87">
        <f t="shared" si="0"/>
        <v>930.12631555999985</v>
      </c>
      <c r="Q9" s="87">
        <f t="shared" si="0"/>
        <v>7089.2835140763982</v>
      </c>
      <c r="R9" s="87">
        <f t="shared" si="0"/>
        <v>15336.770710354795</v>
      </c>
      <c r="S9" s="87">
        <f t="shared" si="0"/>
        <v>14289.364796301999</v>
      </c>
      <c r="T9" s="87">
        <f t="shared" si="0"/>
        <v>14428.749698055664</v>
      </c>
      <c r="U9" s="87">
        <f t="shared" si="0"/>
        <v>9970.5262010576771</v>
      </c>
      <c r="V9" s="87">
        <f t="shared" si="0"/>
        <v>8189.4030018780832</v>
      </c>
      <c r="W9" s="87">
        <f t="shared" si="0"/>
        <v>3766.3500178704817</v>
      </c>
    </row>
    <row r="10" spans="1:26">
      <c r="A10" s="97">
        <v>0.15</v>
      </c>
      <c r="B10" s="97" t="s">
        <v>314</v>
      </c>
      <c r="C10" s="3"/>
      <c r="M10" s="98" t="s">
        <v>372</v>
      </c>
      <c r="N10" s="87">
        <f>SUM(O10:W10)</f>
        <v>107488.70924262398</v>
      </c>
      <c r="O10" s="108">
        <f t="shared" ref="O10:W10" si="1">SUM(O188:O204)+O168+O169+O51+O53+O47+O36</f>
        <v>0</v>
      </c>
      <c r="P10" s="87">
        <f t="shared" si="1"/>
        <v>905.66131968000002</v>
      </c>
      <c r="Q10" s="87">
        <f t="shared" si="1"/>
        <v>905.66131968000002</v>
      </c>
      <c r="R10" s="87">
        <f t="shared" si="1"/>
        <v>14633.124634368</v>
      </c>
      <c r="S10" s="87">
        <f t="shared" si="1"/>
        <v>14331.237043711999</v>
      </c>
      <c r="T10" s="87">
        <f t="shared" si="1"/>
        <v>22123.388099840002</v>
      </c>
      <c r="U10" s="87">
        <f t="shared" si="1"/>
        <v>21700.745182464001</v>
      </c>
      <c r="V10" s="87">
        <f t="shared" si="1"/>
        <v>16444.445821439997</v>
      </c>
      <c r="W10" s="87">
        <f t="shared" si="1"/>
        <v>16444.445821439997</v>
      </c>
    </row>
    <row r="11" spans="1:26">
      <c r="A11" s="2">
        <v>8.5000000000000006E-2</v>
      </c>
      <c r="B11" s="97" t="s">
        <v>311</v>
      </c>
      <c r="C11" s="3"/>
      <c r="M11" s="98" t="s">
        <v>371</v>
      </c>
      <c r="N11" s="87">
        <f>SUM(O11:W11)</f>
        <v>181489.28349777908</v>
      </c>
      <c r="O11" s="87">
        <f t="shared" ref="O11:W11" si="2">SUM(O16:O204)</f>
        <v>0</v>
      </c>
      <c r="P11" s="87">
        <f t="shared" si="2"/>
        <v>1835.7876352399999</v>
      </c>
      <c r="Q11" s="87">
        <f t="shared" si="2"/>
        <v>7994.9448337563981</v>
      </c>
      <c r="R11" s="87">
        <f t="shared" si="2"/>
        <v>29969.895344722794</v>
      </c>
      <c r="S11" s="87">
        <f t="shared" si="2"/>
        <v>28620.601840013998</v>
      </c>
      <c r="T11" s="87">
        <f t="shared" si="2"/>
        <v>36552.137797895666</v>
      </c>
      <c r="U11" s="87">
        <f t="shared" si="2"/>
        <v>31671.271383521678</v>
      </c>
      <c r="V11" s="87">
        <f t="shared" si="2"/>
        <v>24633.84882331808</v>
      </c>
      <c r="W11" s="87">
        <f t="shared" si="2"/>
        <v>20210.795839310478</v>
      </c>
    </row>
    <row r="12" spans="1:26">
      <c r="V12" t="s">
        <v>0</v>
      </c>
    </row>
    <row r="13" spans="1:26">
      <c r="B13" s="97" t="s">
        <v>370</v>
      </c>
      <c r="E13" s="108">
        <f>SUM(E16:E204)</f>
        <v>84599.711561999982</v>
      </c>
      <c r="G13" s="108">
        <f>SUM(G16:G204)</f>
        <v>13367.301208400004</v>
      </c>
      <c r="I13" s="108">
        <f>SUM(I16:I204)</f>
        <v>10151.965387440001</v>
      </c>
      <c r="K13" s="108">
        <f>SUM(K16:K204)</f>
        <v>69199.074795569104</v>
      </c>
      <c r="M13" s="108">
        <f>SUM(M16:M204)</f>
        <v>4171.2305443700006</v>
      </c>
      <c r="N13" s="108">
        <f>SUM(N16:N204)</f>
        <v>181489.28349777911</v>
      </c>
      <c r="O13" s="87" t="s">
        <v>0</v>
      </c>
      <c r="P13" s="87" t="s">
        <v>0</v>
      </c>
      <c r="Q13" s="87" t="s">
        <v>0</v>
      </c>
      <c r="R13" s="87" t="s">
        <v>0</v>
      </c>
      <c r="S13" s="87" t="s">
        <v>0</v>
      </c>
      <c r="T13" s="87" t="s">
        <v>0</v>
      </c>
      <c r="U13" s="87" t="s">
        <v>0</v>
      </c>
      <c r="V13" s="87" t="s">
        <v>0</v>
      </c>
      <c r="W13" s="87" t="s">
        <v>0</v>
      </c>
    </row>
    <row r="14" spans="1:26">
      <c r="A14" s="109" t="str">
        <f>'CORE  2019'!B6</f>
        <v>R WBS</v>
      </c>
      <c r="B14" s="109" t="str">
        <f>'CORE  2019'!C6</f>
        <v>System</v>
      </c>
      <c r="C14" s="112" t="str">
        <f>'CORE  2019'!D6</f>
        <v>Detector</v>
      </c>
      <c r="D14" s="109" t="str">
        <f>'CORE  2019'!E6</f>
        <v>item</v>
      </c>
      <c r="E14" s="109" t="str">
        <f>'CORE  2019'!J6</f>
        <v>total CORE[k$]</v>
      </c>
      <c r="F14" s="12" t="s">
        <v>315</v>
      </c>
      <c r="G14" s="12" t="s">
        <v>309</v>
      </c>
      <c r="H14" s="12" t="s">
        <v>315</v>
      </c>
      <c r="I14" s="12" t="s">
        <v>310</v>
      </c>
      <c r="J14" s="12" t="s">
        <v>315</v>
      </c>
      <c r="K14" s="12" t="s">
        <v>522</v>
      </c>
      <c r="L14" s="12" t="s">
        <v>315</v>
      </c>
      <c r="M14" s="12" t="s">
        <v>311</v>
      </c>
      <c r="N14" s="12" t="s">
        <v>230</v>
      </c>
      <c r="O14" s="12" t="s">
        <v>13</v>
      </c>
      <c r="P14" s="12" t="s">
        <v>14</v>
      </c>
      <c r="Q14" s="12" t="s">
        <v>15</v>
      </c>
      <c r="R14" s="14" t="s">
        <v>16</v>
      </c>
      <c r="S14" s="14" t="s">
        <v>17</v>
      </c>
      <c r="T14" s="14" t="s">
        <v>18</v>
      </c>
      <c r="U14" s="14" t="s">
        <v>19</v>
      </c>
      <c r="V14" s="12" t="s">
        <v>20</v>
      </c>
      <c r="W14" s="14" t="s">
        <v>21</v>
      </c>
      <c r="X14" s="12" t="s">
        <v>22</v>
      </c>
      <c r="Y14" s="147" t="s">
        <v>23</v>
      </c>
      <c r="Z14" s="148" t="str">
        <f>'CORE  2019'!W6</f>
        <v>US project y/n</v>
      </c>
    </row>
    <row r="15" spans="1:26">
      <c r="A15" s="113" t="s">
        <v>0</v>
      </c>
      <c r="B15" s="113" t="str">
        <f>'CORE  2019'!C7</f>
        <v>Cryostat Top Infrastructure</v>
      </c>
      <c r="C15" s="19">
        <f>N36+N47</f>
        <v>1811.32263936</v>
      </c>
      <c r="D15" s="21">
        <f>SUM(N16:N47)-C15</f>
        <v>6888.1649436080006</v>
      </c>
      <c r="E15" s="110" t="str">
        <f>'CORE  2019'!J7</f>
        <v>[FY19]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2"/>
      <c r="S15" s="22"/>
      <c r="T15" s="22"/>
      <c r="U15" s="22"/>
      <c r="V15" s="20"/>
      <c r="W15" s="22"/>
      <c r="X15" s="20"/>
      <c r="Y15" s="20"/>
      <c r="Z15" t="s">
        <v>0</v>
      </c>
    </row>
    <row r="16" spans="1:26">
      <c r="A16" t="str">
        <f>'CORE  2019'!B8</f>
        <v>131.04.01.06</v>
      </c>
      <c r="B16" t="str">
        <f>'CORE  2019'!C8</f>
        <v>Cryostat Top infrastructure</v>
      </c>
      <c r="C16" s="110">
        <f>'CORE  2019'!D8</f>
        <v>1</v>
      </c>
      <c r="D16" t="str">
        <f>'CORE  2019'!E8</f>
        <v>SS vertical tubes (feed thrus)</v>
      </c>
      <c r="E16" s="108">
        <f>'CORE  2019'!J8</f>
        <v>34.177</v>
      </c>
      <c r="F16" s="94">
        <f t="shared" ref="F16:F46" si="3">$A$7</f>
        <v>0.2</v>
      </c>
      <c r="G16" s="93">
        <f t="shared" ref="G16:G47" si="4">F16*E16</f>
        <v>6.8353999999999999</v>
      </c>
      <c r="H16" s="94">
        <f t="shared" ref="H16:H47" si="5">$A$9</f>
        <v>0.12</v>
      </c>
      <c r="I16" s="93">
        <f t="shared" ref="I16:I47" si="6">H16*E16</f>
        <v>4.1012399999999998</v>
      </c>
      <c r="J16" s="95">
        <f t="shared" ref="J16:J35" si="7">$A$3</f>
        <v>7.8E-2</v>
      </c>
      <c r="K16" s="93">
        <f t="shared" ref="K16:K47" si="8">($E16+$G16+$I16)*$J16</f>
        <v>3.5188639199999998</v>
      </c>
      <c r="L16" s="95">
        <f t="shared" ref="L16:L46" si="9">$A$11</f>
        <v>8.5000000000000006E-2</v>
      </c>
      <c r="M16" s="93">
        <f t="shared" ref="M16:M47" si="10">L16*E16</f>
        <v>2.9050450000000003</v>
      </c>
      <c r="N16" s="23">
        <f t="shared" ref="N16:N47" si="11">E16+G16+I16+K16+M16</f>
        <v>51.537548919999999</v>
      </c>
      <c r="O16" s="99"/>
      <c r="P16" s="99"/>
      <c r="Q16" s="99"/>
      <c r="R16" s="8">
        <f>N16</f>
        <v>51.537548919999999</v>
      </c>
      <c r="S16" s="8"/>
      <c r="T16" s="8"/>
      <c r="U16" s="8"/>
      <c r="V16" s="99"/>
      <c r="W16" s="8"/>
      <c r="X16" s="99" t="s">
        <v>236</v>
      </c>
      <c r="Y16" s="61">
        <f t="shared" ref="Y16:Y47" si="12">SUM(O16:W16)-N16</f>
        <v>0</v>
      </c>
      <c r="Z16" s="110" t="str">
        <f>'CORE  2019'!W8</f>
        <v>y</v>
      </c>
    </row>
    <row r="17" spans="1:26">
      <c r="A17" t="str">
        <f>'CORE  2019'!B9</f>
        <v>131.04.01.06</v>
      </c>
      <c r="B17" t="str">
        <f>'CORE  2019'!C9</f>
        <v>Cryostat Top infrastructure</v>
      </c>
      <c r="C17" s="110">
        <f>'CORE  2019'!D9</f>
        <v>1</v>
      </c>
      <c r="D17" t="str">
        <f>'CORE  2019'!E9</f>
        <v>SS tubes flanges (feed thrus)</v>
      </c>
      <c r="E17" s="108">
        <f>'CORE  2019'!J9</f>
        <v>173.99199999999999</v>
      </c>
      <c r="F17" s="94">
        <f t="shared" si="3"/>
        <v>0.2</v>
      </c>
      <c r="G17" s="93">
        <f t="shared" si="4"/>
        <v>34.798400000000001</v>
      </c>
      <c r="H17" s="94">
        <f t="shared" si="5"/>
        <v>0.12</v>
      </c>
      <c r="I17" s="93">
        <f t="shared" si="6"/>
        <v>20.87904</v>
      </c>
      <c r="J17" s="95">
        <f t="shared" si="7"/>
        <v>7.8E-2</v>
      </c>
      <c r="K17" s="93">
        <f t="shared" si="8"/>
        <v>17.914216319999998</v>
      </c>
      <c r="L17" s="95">
        <f t="shared" si="9"/>
        <v>8.5000000000000006E-2</v>
      </c>
      <c r="M17" s="93">
        <f t="shared" si="10"/>
        <v>14.78932</v>
      </c>
      <c r="N17" s="23">
        <f t="shared" si="11"/>
        <v>262.37297631999996</v>
      </c>
      <c r="O17" s="99"/>
      <c r="P17" s="99"/>
      <c r="Q17" s="99"/>
      <c r="R17" s="8">
        <f>N17</f>
        <v>262.37297631999996</v>
      </c>
      <c r="S17" s="8"/>
      <c r="T17" s="8"/>
      <c r="U17" s="8"/>
      <c r="V17" s="99"/>
      <c r="W17" s="8"/>
      <c r="X17" s="99" t="s">
        <v>236</v>
      </c>
      <c r="Y17" s="61">
        <f t="shared" si="12"/>
        <v>0</v>
      </c>
      <c r="Z17" s="110" t="str">
        <f>'CORE  2019'!W9</f>
        <v>y</v>
      </c>
    </row>
    <row r="18" spans="1:26">
      <c r="A18" t="str">
        <f>'CORE  2019'!B10</f>
        <v>131.04.01.06</v>
      </c>
      <c r="B18" t="str">
        <f>'CORE  2019'!C10</f>
        <v>Cryostat Top infrastructure</v>
      </c>
      <c r="C18" s="110">
        <f>'CORE  2019'!D10</f>
        <v>1</v>
      </c>
      <c r="D18" t="str">
        <f>'CORE  2019'!E10</f>
        <v>manholes</v>
      </c>
      <c r="E18" s="108">
        <f>'CORE  2019'!J10</f>
        <v>33.799999999999997</v>
      </c>
      <c r="F18" s="94">
        <f t="shared" si="3"/>
        <v>0.2</v>
      </c>
      <c r="G18" s="93">
        <f t="shared" si="4"/>
        <v>6.76</v>
      </c>
      <c r="H18" s="94">
        <f t="shared" si="5"/>
        <v>0.12</v>
      </c>
      <c r="I18" s="93">
        <f t="shared" si="6"/>
        <v>4.0559999999999992</v>
      </c>
      <c r="J18" s="95">
        <f t="shared" si="7"/>
        <v>7.8E-2</v>
      </c>
      <c r="K18" s="93">
        <f t="shared" si="8"/>
        <v>3.4800479999999996</v>
      </c>
      <c r="L18" s="95">
        <f t="shared" si="9"/>
        <v>8.5000000000000006E-2</v>
      </c>
      <c r="M18" s="93">
        <f t="shared" si="10"/>
        <v>2.8729999999999998</v>
      </c>
      <c r="N18" s="23">
        <f t="shared" si="11"/>
        <v>50.969047999999987</v>
      </c>
      <c r="O18" s="99"/>
      <c r="P18" s="99"/>
      <c r="Q18" s="99"/>
      <c r="R18" s="8">
        <f>N18</f>
        <v>50.969047999999987</v>
      </c>
      <c r="S18" s="8"/>
      <c r="T18" s="8"/>
      <c r="U18" s="8"/>
      <c r="V18" s="99"/>
      <c r="W18" s="8"/>
      <c r="X18" s="99" t="s">
        <v>236</v>
      </c>
      <c r="Y18" s="61">
        <f t="shared" si="12"/>
        <v>0</v>
      </c>
      <c r="Z18" s="110" t="str">
        <f>'CORE  2019'!W10</f>
        <v>y</v>
      </c>
    </row>
    <row r="19" spans="1:26">
      <c r="A19" t="str">
        <f>'CORE  2019'!B11</f>
        <v>131.04.01.06</v>
      </c>
      <c r="B19" t="str">
        <f>'CORE  2019'!C11</f>
        <v>Cryostat Top infrastructure</v>
      </c>
      <c r="C19" s="110">
        <f>'CORE  2019'!D11</f>
        <v>1</v>
      </c>
      <c r="D19" t="str">
        <f>'CORE  2019'!E11</f>
        <v>gate valves on instrumentation ports</v>
      </c>
      <c r="E19" s="108">
        <f>'CORE  2019'!J11</f>
        <v>111.25919999999999</v>
      </c>
      <c r="F19" s="94">
        <f t="shared" si="3"/>
        <v>0.2</v>
      </c>
      <c r="G19" s="93">
        <f t="shared" si="4"/>
        <v>22.251840000000001</v>
      </c>
      <c r="H19" s="94">
        <f t="shared" si="5"/>
        <v>0.12</v>
      </c>
      <c r="I19" s="93">
        <f t="shared" si="6"/>
        <v>13.351103999999999</v>
      </c>
      <c r="J19" s="95">
        <f t="shared" si="7"/>
        <v>7.8E-2</v>
      </c>
      <c r="K19" s="93">
        <f t="shared" si="8"/>
        <v>11.455247231999998</v>
      </c>
      <c r="L19" s="95">
        <f t="shared" si="9"/>
        <v>8.5000000000000006E-2</v>
      </c>
      <c r="M19" s="93">
        <f t="shared" si="10"/>
        <v>9.4570319999999999</v>
      </c>
      <c r="N19" s="23">
        <f t="shared" si="11"/>
        <v>167.77442323199998</v>
      </c>
      <c r="O19" s="99"/>
      <c r="P19" s="99"/>
      <c r="Q19" s="99"/>
      <c r="R19" s="8">
        <f>N19</f>
        <v>167.77442323199998</v>
      </c>
      <c r="S19" s="8"/>
      <c r="T19" s="8"/>
      <c r="U19" s="8"/>
      <c r="V19" s="99"/>
      <c r="W19" s="8"/>
      <c r="X19" s="99" t="s">
        <v>236</v>
      </c>
      <c r="Y19" s="61">
        <f t="shared" si="12"/>
        <v>0</v>
      </c>
      <c r="Z19" s="110" t="str">
        <f>'CORE  2019'!W11</f>
        <v>y</v>
      </c>
    </row>
    <row r="20" spans="1:26">
      <c r="A20" t="str">
        <f>'CORE  2019'!B12</f>
        <v>131.04.01.06</v>
      </c>
      <c r="B20" t="str">
        <f>'CORE  2019'!C12</f>
        <v>Cryostat Top infrastructure</v>
      </c>
      <c r="C20" s="110">
        <f>'CORE  2019'!D12</f>
        <v>1</v>
      </c>
      <c r="D20" t="str">
        <f>'CORE  2019'!E12</f>
        <v>structural supports for feed thrus</v>
      </c>
      <c r="E20" s="108">
        <f>'CORE  2019'!J12</f>
        <v>9.4770000000000003</v>
      </c>
      <c r="F20" s="94">
        <f t="shared" si="3"/>
        <v>0.2</v>
      </c>
      <c r="G20" s="93">
        <f t="shared" si="4"/>
        <v>1.8954000000000002</v>
      </c>
      <c r="H20" s="94">
        <f t="shared" si="5"/>
        <v>0.12</v>
      </c>
      <c r="I20" s="93">
        <f t="shared" si="6"/>
        <v>1.13724</v>
      </c>
      <c r="J20" s="95">
        <f t="shared" si="7"/>
        <v>7.8E-2</v>
      </c>
      <c r="K20" s="93">
        <f t="shared" si="8"/>
        <v>0.97575192000000011</v>
      </c>
      <c r="L20" s="95">
        <f t="shared" si="9"/>
        <v>8.5000000000000006E-2</v>
      </c>
      <c r="M20" s="93">
        <f t="shared" si="10"/>
        <v>0.80554500000000007</v>
      </c>
      <c r="N20" s="23">
        <f t="shared" si="11"/>
        <v>14.290936920000002</v>
      </c>
      <c r="O20" s="99"/>
      <c r="P20" s="99"/>
      <c r="Q20" s="99"/>
      <c r="R20" s="8">
        <f>N20</f>
        <v>14.290936920000002</v>
      </c>
      <c r="S20" s="8"/>
      <c r="T20" s="8"/>
      <c r="U20" s="8"/>
      <c r="V20" s="99"/>
      <c r="W20" s="8"/>
      <c r="X20" s="99" t="s">
        <v>236</v>
      </c>
      <c r="Y20" s="61">
        <f t="shared" si="12"/>
        <v>0</v>
      </c>
      <c r="Z20" s="110" t="str">
        <f>'CORE  2019'!W12</f>
        <v>y</v>
      </c>
    </row>
    <row r="21" spans="1:26">
      <c r="A21" t="str">
        <f>'CORE  2019'!B13</f>
        <v>131.04.01.06</v>
      </c>
      <c r="B21" t="str">
        <f>'CORE  2019'!C13</f>
        <v>Cryostat Top infrastructure</v>
      </c>
      <c r="C21" s="110">
        <f>'CORE  2019'!D13</f>
        <v>1</v>
      </c>
      <c r="D21" t="str">
        <f>'CORE  2019'!E13</f>
        <v>gas exhaust pipe</v>
      </c>
      <c r="E21" s="108">
        <f>'CORE  2019'!J13</f>
        <v>55.9</v>
      </c>
      <c r="F21" s="94">
        <f t="shared" si="3"/>
        <v>0.2</v>
      </c>
      <c r="G21" s="93">
        <f t="shared" si="4"/>
        <v>11.18</v>
      </c>
      <c r="H21" s="94">
        <f t="shared" si="5"/>
        <v>0.12</v>
      </c>
      <c r="I21" s="93">
        <f t="shared" si="6"/>
        <v>6.7079999999999993</v>
      </c>
      <c r="J21" s="95">
        <f t="shared" si="7"/>
        <v>7.8E-2</v>
      </c>
      <c r="K21" s="93">
        <f t="shared" si="8"/>
        <v>5.7554639999999999</v>
      </c>
      <c r="L21" s="95">
        <f t="shared" si="9"/>
        <v>8.5000000000000006E-2</v>
      </c>
      <c r="M21" s="93">
        <f t="shared" si="10"/>
        <v>4.7515000000000001</v>
      </c>
      <c r="N21" s="23">
        <f t="shared" si="11"/>
        <v>84.294963999999993</v>
      </c>
      <c r="O21" s="99"/>
      <c r="P21" s="99"/>
      <c r="Q21" s="99"/>
      <c r="R21" s="8">
        <f t="shared" ref="R21:R36" si="13">N21*0.6</f>
        <v>50.576978399999994</v>
      </c>
      <c r="S21" s="8">
        <f t="shared" ref="S21:S36" si="14">N21*0.4</f>
        <v>33.717985599999999</v>
      </c>
      <c r="T21" s="8"/>
      <c r="U21" s="8"/>
      <c r="V21" s="99"/>
      <c r="W21" s="8"/>
      <c r="X21" s="99" t="s">
        <v>236</v>
      </c>
      <c r="Y21" s="61">
        <f t="shared" si="12"/>
        <v>0</v>
      </c>
      <c r="Z21" s="110" t="str">
        <f>'CORE  2019'!W13</f>
        <v>y</v>
      </c>
    </row>
    <row r="22" spans="1:26">
      <c r="A22" t="str">
        <f>'CORE  2019'!B14</f>
        <v>131.04.01.06</v>
      </c>
      <c r="B22" t="str">
        <f>'CORE  2019'!C14</f>
        <v>Cryostat Top infrastructure</v>
      </c>
      <c r="C22" s="110">
        <f>'CORE  2019'!D14</f>
        <v>1</v>
      </c>
      <c r="D22" t="str">
        <f>'CORE  2019'!E14</f>
        <v>exhaust valves</v>
      </c>
      <c r="E22" s="108">
        <f>'CORE  2019'!J14</f>
        <v>102.03569999999999</v>
      </c>
      <c r="F22" s="94">
        <f t="shared" si="3"/>
        <v>0.2</v>
      </c>
      <c r="G22" s="93">
        <f t="shared" si="4"/>
        <v>20.407139999999998</v>
      </c>
      <c r="H22" s="94">
        <f t="shared" si="5"/>
        <v>0.12</v>
      </c>
      <c r="I22" s="93">
        <f t="shared" si="6"/>
        <v>12.244283999999999</v>
      </c>
      <c r="J22" s="95">
        <f t="shared" si="7"/>
        <v>7.8E-2</v>
      </c>
      <c r="K22" s="93">
        <f t="shared" si="8"/>
        <v>10.505595671999998</v>
      </c>
      <c r="L22" s="95">
        <f t="shared" si="9"/>
        <v>8.5000000000000006E-2</v>
      </c>
      <c r="M22" s="93">
        <f t="shared" si="10"/>
        <v>8.6730345</v>
      </c>
      <c r="N22" s="23">
        <f t="shared" si="11"/>
        <v>153.86575417199998</v>
      </c>
      <c r="O22" s="99"/>
      <c r="P22" s="99"/>
      <c r="Q22" s="99"/>
      <c r="R22" s="8">
        <f t="shared" si="13"/>
        <v>92.319452503199983</v>
      </c>
      <c r="S22" s="8">
        <f t="shared" si="14"/>
        <v>61.546301668799998</v>
      </c>
      <c r="T22" s="8"/>
      <c r="U22" s="8"/>
      <c r="V22" s="99"/>
      <c r="W22" s="8"/>
      <c r="X22" s="99" t="s">
        <v>236</v>
      </c>
      <c r="Y22" s="61">
        <f t="shared" si="12"/>
        <v>0</v>
      </c>
      <c r="Z22" s="110" t="str">
        <f>'CORE  2019'!W14</f>
        <v>y</v>
      </c>
    </row>
    <row r="23" spans="1:26">
      <c r="A23" t="str">
        <f>'CORE  2019'!B15</f>
        <v>131.04.01.06</v>
      </c>
      <c r="B23" t="str">
        <f>'CORE  2019'!C15</f>
        <v>Cryostat Top infrastructure</v>
      </c>
      <c r="C23" s="110">
        <f>'CORE  2019'!D15</f>
        <v>1</v>
      </c>
      <c r="D23" t="str">
        <f>'CORE  2019'!E15</f>
        <v>flexibles to valves</v>
      </c>
      <c r="E23" s="108">
        <f>'CORE  2019'!J15</f>
        <v>37.908000000000001</v>
      </c>
      <c r="F23" s="94">
        <f t="shared" si="3"/>
        <v>0.2</v>
      </c>
      <c r="G23" s="93">
        <f t="shared" si="4"/>
        <v>7.5816000000000008</v>
      </c>
      <c r="H23" s="94">
        <f t="shared" si="5"/>
        <v>0.12</v>
      </c>
      <c r="I23" s="93">
        <f t="shared" si="6"/>
        <v>4.5489600000000001</v>
      </c>
      <c r="J23" s="95">
        <f t="shared" si="7"/>
        <v>7.8E-2</v>
      </c>
      <c r="K23" s="93">
        <f t="shared" si="8"/>
        <v>3.9030076800000004</v>
      </c>
      <c r="L23" s="95">
        <f t="shared" si="9"/>
        <v>8.5000000000000006E-2</v>
      </c>
      <c r="M23" s="93">
        <f t="shared" si="10"/>
        <v>3.2221800000000003</v>
      </c>
      <c r="N23" s="23">
        <f t="shared" si="11"/>
        <v>57.163747680000007</v>
      </c>
      <c r="O23" s="99"/>
      <c r="P23" s="99"/>
      <c r="Q23" s="99"/>
      <c r="R23" s="8">
        <f t="shared" si="13"/>
        <v>34.298248608000002</v>
      </c>
      <c r="S23" s="8">
        <f t="shared" si="14"/>
        <v>22.865499072000006</v>
      </c>
      <c r="T23" s="8"/>
      <c r="U23" s="8"/>
      <c r="V23" s="99"/>
      <c r="W23" s="8"/>
      <c r="X23" s="99" t="s">
        <v>236</v>
      </c>
      <c r="Y23" s="61">
        <f t="shared" si="12"/>
        <v>0</v>
      </c>
      <c r="Z23" s="110" t="str">
        <f>'CORE  2019'!W15</f>
        <v>y</v>
      </c>
    </row>
    <row r="24" spans="1:26">
      <c r="A24" t="str">
        <f>'CORE  2019'!B16</f>
        <v>131.04.01.06</v>
      </c>
      <c r="B24" t="str">
        <f>'CORE  2019'!C16</f>
        <v>Cryostat Top infrastructure</v>
      </c>
      <c r="C24" s="110">
        <f>'CORE  2019'!D16</f>
        <v>1</v>
      </c>
      <c r="D24" t="str">
        <f>'CORE  2019'!E16</f>
        <v>exhaust valves  soft pipe</v>
      </c>
      <c r="E24" s="108">
        <f>'CORE  2019'!J16</f>
        <v>4.9192</v>
      </c>
      <c r="F24" s="94">
        <f t="shared" si="3"/>
        <v>0.2</v>
      </c>
      <c r="G24" s="93">
        <f t="shared" si="4"/>
        <v>0.98384000000000005</v>
      </c>
      <c r="H24" s="94">
        <f t="shared" si="5"/>
        <v>0.12</v>
      </c>
      <c r="I24" s="93">
        <f t="shared" si="6"/>
        <v>0.59030399999999994</v>
      </c>
      <c r="J24" s="95">
        <f t="shared" si="7"/>
        <v>7.8E-2</v>
      </c>
      <c r="K24" s="93">
        <f t="shared" si="8"/>
        <v>0.50648083199999994</v>
      </c>
      <c r="L24" s="95">
        <f t="shared" si="9"/>
        <v>8.5000000000000006E-2</v>
      </c>
      <c r="M24" s="93">
        <f t="shared" si="10"/>
        <v>0.41813200000000006</v>
      </c>
      <c r="N24" s="23">
        <f t="shared" si="11"/>
        <v>7.4179568319999998</v>
      </c>
      <c r="O24" s="99"/>
      <c r="P24" s="99"/>
      <c r="Q24" s="99"/>
      <c r="R24" s="8">
        <f t="shared" si="13"/>
        <v>4.4507740991999993</v>
      </c>
      <c r="S24" s="8">
        <f t="shared" si="14"/>
        <v>2.9671827328</v>
      </c>
      <c r="T24" s="8"/>
      <c r="U24" s="8"/>
      <c r="V24" s="99"/>
      <c r="W24" s="8"/>
      <c r="X24" s="99" t="s">
        <v>236</v>
      </c>
      <c r="Y24" s="61">
        <f t="shared" si="12"/>
        <v>0</v>
      </c>
      <c r="Z24" s="110" t="str">
        <f>'CORE  2019'!W16</f>
        <v>y</v>
      </c>
    </row>
    <row r="25" spans="1:26">
      <c r="A25" t="str">
        <f>'CORE  2019'!B17</f>
        <v>131.04.01.06</v>
      </c>
      <c r="B25" t="str">
        <f>'CORE  2019'!C17</f>
        <v>Cryostat Top infrastructure</v>
      </c>
      <c r="C25" s="110">
        <f>'CORE  2019'!D17</f>
        <v>1</v>
      </c>
      <c r="D25" t="str">
        <f>'CORE  2019'!E17</f>
        <v>exhaust valves fanout</v>
      </c>
      <c r="E25" s="108">
        <f>'CORE  2019'!J17</f>
        <v>13.39</v>
      </c>
      <c r="F25" s="94">
        <f t="shared" si="3"/>
        <v>0.2</v>
      </c>
      <c r="G25" s="93">
        <f t="shared" si="4"/>
        <v>2.6780000000000004</v>
      </c>
      <c r="H25" s="94">
        <f t="shared" si="5"/>
        <v>0.12</v>
      </c>
      <c r="I25" s="93">
        <f t="shared" si="6"/>
        <v>1.6068</v>
      </c>
      <c r="J25" s="95">
        <f t="shared" si="7"/>
        <v>7.8E-2</v>
      </c>
      <c r="K25" s="93">
        <f t="shared" si="8"/>
        <v>1.3786344000000001</v>
      </c>
      <c r="L25" s="95">
        <f t="shared" si="9"/>
        <v>8.5000000000000006E-2</v>
      </c>
      <c r="M25" s="93">
        <f t="shared" si="10"/>
        <v>1.1381500000000002</v>
      </c>
      <c r="N25" s="23">
        <f t="shared" si="11"/>
        <v>20.1915844</v>
      </c>
      <c r="O25" s="99"/>
      <c r="P25" s="99"/>
      <c r="Q25" s="99"/>
      <c r="R25" s="8">
        <f t="shared" si="13"/>
        <v>12.11495064</v>
      </c>
      <c r="S25" s="8">
        <f t="shared" si="14"/>
        <v>8.07663376</v>
      </c>
      <c r="T25" s="8"/>
      <c r="U25" s="8"/>
      <c r="V25" s="99"/>
      <c r="W25" s="8"/>
      <c r="X25" s="99" t="s">
        <v>236</v>
      </c>
      <c r="Y25" s="61">
        <f t="shared" si="12"/>
        <v>0</v>
      </c>
      <c r="Z25" s="110" t="str">
        <f>'CORE  2019'!W17</f>
        <v>y</v>
      </c>
    </row>
    <row r="26" spans="1:26">
      <c r="A26" t="str">
        <f>'CORE  2019'!B18</f>
        <v>131.04.01.06</v>
      </c>
      <c r="B26" t="str">
        <f>'CORE  2019'!C18</f>
        <v>Cryostat Top infrastructure</v>
      </c>
      <c r="C26" s="110">
        <f>'CORE  2019'!D18</f>
        <v>1</v>
      </c>
      <c r="D26" t="str">
        <f>'CORE  2019'!E18</f>
        <v>gas analysers</v>
      </c>
      <c r="E26" s="108">
        <f>'CORE  2019'!J18</f>
        <v>99.53840000000001</v>
      </c>
      <c r="F26" s="94">
        <f t="shared" si="3"/>
        <v>0.2</v>
      </c>
      <c r="G26" s="93">
        <f t="shared" si="4"/>
        <v>19.907680000000003</v>
      </c>
      <c r="H26" s="94">
        <f t="shared" si="5"/>
        <v>0.12</v>
      </c>
      <c r="I26" s="93">
        <f t="shared" si="6"/>
        <v>11.944608000000001</v>
      </c>
      <c r="J26" s="95">
        <f t="shared" si="7"/>
        <v>7.8E-2</v>
      </c>
      <c r="K26" s="93">
        <f t="shared" si="8"/>
        <v>10.248473664</v>
      </c>
      <c r="L26" s="95">
        <f t="shared" si="9"/>
        <v>8.5000000000000006E-2</v>
      </c>
      <c r="M26" s="93">
        <f t="shared" si="10"/>
        <v>8.4607640000000011</v>
      </c>
      <c r="N26" s="23">
        <f t="shared" si="11"/>
        <v>150.09992566400001</v>
      </c>
      <c r="O26" s="99"/>
      <c r="P26" s="99"/>
      <c r="Q26" s="99"/>
      <c r="R26" s="8">
        <f t="shared" si="13"/>
        <v>90.059955398400007</v>
      </c>
      <c r="S26" s="8">
        <f t="shared" si="14"/>
        <v>60.039970265600004</v>
      </c>
      <c r="T26" s="8"/>
      <c r="U26" s="8"/>
      <c r="V26" s="99"/>
      <c r="W26" s="8"/>
      <c r="X26" s="99" t="s">
        <v>236</v>
      </c>
      <c r="Y26" s="61">
        <f t="shared" si="12"/>
        <v>0</v>
      </c>
      <c r="Z26" s="110" t="str">
        <f>'CORE  2019'!W18</f>
        <v>y</v>
      </c>
    </row>
    <row r="27" spans="1:26">
      <c r="A27" t="str">
        <f>'CORE  2019'!B19</f>
        <v>131.04.01.06</v>
      </c>
      <c r="B27" t="str">
        <f>'CORE  2019'!C19</f>
        <v>Cryostat Top infrastructure</v>
      </c>
      <c r="C27" s="110">
        <f>'CORE  2019'!D19</f>
        <v>1</v>
      </c>
      <c r="D27" t="str">
        <f>'CORE  2019'!E19</f>
        <v>O2 trace analysers</v>
      </c>
      <c r="E27" s="108">
        <f>'CORE  2019'!J19</f>
        <v>102.07599999999999</v>
      </c>
      <c r="F27" s="94">
        <f t="shared" si="3"/>
        <v>0.2</v>
      </c>
      <c r="G27" s="93">
        <f t="shared" si="4"/>
        <v>20.415199999999999</v>
      </c>
      <c r="H27" s="94">
        <f t="shared" si="5"/>
        <v>0.12</v>
      </c>
      <c r="I27" s="93">
        <f t="shared" si="6"/>
        <v>12.24912</v>
      </c>
      <c r="J27" s="95">
        <f t="shared" si="7"/>
        <v>7.8E-2</v>
      </c>
      <c r="K27" s="93">
        <f t="shared" si="8"/>
        <v>10.509744959999999</v>
      </c>
      <c r="L27" s="95">
        <f t="shared" si="9"/>
        <v>8.5000000000000006E-2</v>
      </c>
      <c r="M27" s="93">
        <f t="shared" si="10"/>
        <v>8.6764600000000005</v>
      </c>
      <c r="N27" s="23">
        <f t="shared" si="11"/>
        <v>153.92652495999999</v>
      </c>
      <c r="O27" s="99"/>
      <c r="P27" s="99"/>
      <c r="Q27" s="99"/>
      <c r="R27" s="8">
        <f t="shared" si="13"/>
        <v>92.355914975999994</v>
      </c>
      <c r="S27" s="8">
        <f t="shared" si="14"/>
        <v>61.570609984000001</v>
      </c>
      <c r="T27" s="8"/>
      <c r="U27" s="8"/>
      <c r="V27" s="99"/>
      <c r="W27" s="8"/>
      <c r="X27" s="99" t="s">
        <v>236</v>
      </c>
      <c r="Y27" s="61">
        <f t="shared" si="12"/>
        <v>0</v>
      </c>
      <c r="Z27" s="110" t="str">
        <f>'CORE  2019'!W19</f>
        <v>y</v>
      </c>
    </row>
    <row r="28" spans="1:26" s="121" customFormat="1">
      <c r="A28" s="69" t="str">
        <f>'CORE  2019'!B20</f>
        <v>131.04.01.06</v>
      </c>
      <c r="B28" s="69" t="str">
        <f>'CORE  2019'!C20</f>
        <v>Cryostat Top infrastructure</v>
      </c>
      <c r="C28" s="126">
        <f>'CORE  2019'!D20</f>
        <v>1</v>
      </c>
      <c r="D28" s="76" t="str">
        <f>'CORE  2019'!E20</f>
        <v>primary pumps</v>
      </c>
      <c r="E28" s="108">
        <f>'CORE  2019'!J20</f>
        <v>7.02</v>
      </c>
      <c r="F28" s="94">
        <f t="shared" si="3"/>
        <v>0.2</v>
      </c>
      <c r="G28" s="93">
        <f t="shared" si="4"/>
        <v>1.4039999999999999</v>
      </c>
      <c r="H28" s="94">
        <f t="shared" si="5"/>
        <v>0.12</v>
      </c>
      <c r="I28" s="93">
        <f t="shared" si="6"/>
        <v>0.84239999999999993</v>
      </c>
      <c r="J28" s="95">
        <f t="shared" si="7"/>
        <v>7.8E-2</v>
      </c>
      <c r="K28" s="93">
        <f t="shared" si="8"/>
        <v>0.72277919999999996</v>
      </c>
      <c r="L28" s="95">
        <f t="shared" si="9"/>
        <v>8.5000000000000006E-2</v>
      </c>
      <c r="M28" s="93">
        <f t="shared" si="10"/>
        <v>0.59670000000000001</v>
      </c>
      <c r="N28" s="23">
        <f t="shared" si="11"/>
        <v>10.585879199999999</v>
      </c>
      <c r="O28" s="122"/>
      <c r="P28" s="122"/>
      <c r="Q28" s="122"/>
      <c r="R28" s="8">
        <f t="shared" ref="R28:R32" si="15">N28*0.6</f>
        <v>6.3515275199999994</v>
      </c>
      <c r="S28" s="8">
        <f t="shared" ref="S28:S32" si="16">N28*0.4</f>
        <v>4.2343516799999996</v>
      </c>
      <c r="T28" s="8"/>
      <c r="U28" s="8"/>
      <c r="V28" s="122"/>
      <c r="W28" s="8"/>
      <c r="X28" s="122" t="s">
        <v>236</v>
      </c>
      <c r="Y28" s="61">
        <f t="shared" ref="Y28:Y32" si="17">SUM(O28:W28)-N28</f>
        <v>0</v>
      </c>
      <c r="Z28" s="110" t="str">
        <f>'CORE  2019'!W20</f>
        <v>y</v>
      </c>
    </row>
    <row r="29" spans="1:26" s="121" customFormat="1">
      <c r="A29" s="69" t="str">
        <f>'CORE  2019'!B21</f>
        <v>131.04.01.06</v>
      </c>
      <c r="B29" s="69" t="str">
        <f>'CORE  2019'!C21</f>
        <v>Cryostat Top infrastructure</v>
      </c>
      <c r="C29" s="126">
        <f>'CORE  2019'!D21</f>
        <v>1</v>
      </c>
      <c r="D29" s="76" t="str">
        <f>'CORE  2019'!E21</f>
        <v>turbo pumps</v>
      </c>
      <c r="E29" s="108">
        <f>'CORE  2019'!J21</f>
        <v>23.4</v>
      </c>
      <c r="F29" s="94">
        <f t="shared" si="3"/>
        <v>0.2</v>
      </c>
      <c r="G29" s="93">
        <f t="shared" si="4"/>
        <v>4.68</v>
      </c>
      <c r="H29" s="94">
        <f t="shared" si="5"/>
        <v>0.12</v>
      </c>
      <c r="I29" s="93">
        <f t="shared" si="6"/>
        <v>2.8079999999999998</v>
      </c>
      <c r="J29" s="95">
        <f t="shared" si="7"/>
        <v>7.8E-2</v>
      </c>
      <c r="K29" s="93">
        <f t="shared" si="8"/>
        <v>2.4092639999999999</v>
      </c>
      <c r="L29" s="95">
        <f t="shared" si="9"/>
        <v>8.5000000000000006E-2</v>
      </c>
      <c r="M29" s="93">
        <f t="shared" si="10"/>
        <v>1.9890000000000001</v>
      </c>
      <c r="N29" s="23">
        <f t="shared" si="11"/>
        <v>35.286263999999996</v>
      </c>
      <c r="O29" s="122"/>
      <c r="P29" s="122"/>
      <c r="Q29" s="122"/>
      <c r="R29" s="8">
        <f t="shared" si="15"/>
        <v>21.171758399999998</v>
      </c>
      <c r="S29" s="8">
        <f t="shared" si="16"/>
        <v>14.114505599999999</v>
      </c>
      <c r="T29" s="8"/>
      <c r="U29" s="8"/>
      <c r="V29" s="122"/>
      <c r="W29" s="8"/>
      <c r="X29" s="122" t="s">
        <v>236</v>
      </c>
      <c r="Y29" s="61">
        <f t="shared" si="17"/>
        <v>0</v>
      </c>
      <c r="Z29" s="110" t="str">
        <f>'CORE  2019'!W21</f>
        <v>y</v>
      </c>
    </row>
    <row r="30" spans="1:26" s="121" customFormat="1">
      <c r="A30" s="69" t="str">
        <f>'CORE  2019'!B22</f>
        <v>131.04.01.06</v>
      </c>
      <c r="B30" s="69" t="str">
        <f>'CORE  2019'!C22</f>
        <v>Cryostat Top infrastructure</v>
      </c>
      <c r="C30" s="126">
        <f>'CORE  2019'!D22</f>
        <v>1</v>
      </c>
      <c r="D30" s="76" t="str">
        <f>'CORE  2019'!E22</f>
        <v>He leak checkers</v>
      </c>
      <c r="E30" s="108">
        <f>'CORE  2019'!J22</f>
        <v>91.325000000000003</v>
      </c>
      <c r="F30" s="94">
        <f t="shared" si="3"/>
        <v>0.2</v>
      </c>
      <c r="G30" s="93">
        <f t="shared" si="4"/>
        <v>18.265000000000001</v>
      </c>
      <c r="H30" s="94">
        <f t="shared" si="5"/>
        <v>0.12</v>
      </c>
      <c r="I30" s="93">
        <f t="shared" si="6"/>
        <v>10.959</v>
      </c>
      <c r="J30" s="95">
        <f t="shared" si="7"/>
        <v>7.8E-2</v>
      </c>
      <c r="K30" s="93">
        <f t="shared" si="8"/>
        <v>9.4028220000000005</v>
      </c>
      <c r="L30" s="95">
        <f t="shared" si="9"/>
        <v>8.5000000000000006E-2</v>
      </c>
      <c r="M30" s="93">
        <f t="shared" si="10"/>
        <v>7.7626250000000008</v>
      </c>
      <c r="N30" s="23">
        <f t="shared" si="11"/>
        <v>137.71444700000001</v>
      </c>
      <c r="O30" s="122"/>
      <c r="P30" s="122"/>
      <c r="Q30" s="122"/>
      <c r="R30" s="8">
        <f t="shared" si="15"/>
        <v>82.628668200000007</v>
      </c>
      <c r="S30" s="8">
        <f t="shared" si="16"/>
        <v>55.085778800000007</v>
      </c>
      <c r="T30" s="8"/>
      <c r="U30" s="8"/>
      <c r="V30" s="122"/>
      <c r="W30" s="8"/>
      <c r="X30" s="122" t="s">
        <v>236</v>
      </c>
      <c r="Y30" s="61">
        <f t="shared" si="17"/>
        <v>0</v>
      </c>
      <c r="Z30" s="110" t="str">
        <f>'CORE  2019'!W22</f>
        <v>y</v>
      </c>
    </row>
    <row r="31" spans="1:26" s="121" customFormat="1">
      <c r="A31" s="69" t="str">
        <f>'CORE  2019'!B23</f>
        <v>131.04.01.06</v>
      </c>
      <c r="B31" s="69" t="str">
        <f>'CORE  2019'!C23</f>
        <v>Cryostat Top infrastructure</v>
      </c>
      <c r="C31" s="126">
        <f>'CORE  2019'!D23</f>
        <v>1</v>
      </c>
      <c r="D31" s="76" t="str">
        <f>'CORE  2019'!E23</f>
        <v>vacuum tools</v>
      </c>
      <c r="E31" s="108">
        <f>'CORE  2019'!J23</f>
        <v>19.5</v>
      </c>
      <c r="F31" s="94">
        <f t="shared" si="3"/>
        <v>0.2</v>
      </c>
      <c r="G31" s="93">
        <f t="shared" si="4"/>
        <v>3.9000000000000004</v>
      </c>
      <c r="H31" s="94">
        <f t="shared" si="5"/>
        <v>0.12</v>
      </c>
      <c r="I31" s="93">
        <f t="shared" si="6"/>
        <v>2.34</v>
      </c>
      <c r="J31" s="95">
        <f t="shared" si="7"/>
        <v>7.8E-2</v>
      </c>
      <c r="K31" s="93">
        <f t="shared" si="8"/>
        <v>2.0077199999999999</v>
      </c>
      <c r="L31" s="95">
        <f t="shared" si="9"/>
        <v>8.5000000000000006E-2</v>
      </c>
      <c r="M31" s="93">
        <f t="shared" si="10"/>
        <v>1.6575000000000002</v>
      </c>
      <c r="N31" s="23">
        <f t="shared" si="11"/>
        <v>29.405219999999996</v>
      </c>
      <c r="O31" s="122"/>
      <c r="P31" s="122"/>
      <c r="Q31" s="122"/>
      <c r="R31" s="8">
        <f t="shared" si="15"/>
        <v>17.643131999999998</v>
      </c>
      <c r="S31" s="8">
        <f t="shared" si="16"/>
        <v>11.762087999999999</v>
      </c>
      <c r="T31" s="8"/>
      <c r="U31" s="8"/>
      <c r="V31" s="122"/>
      <c r="W31" s="8"/>
      <c r="X31" s="122" t="s">
        <v>236</v>
      </c>
      <c r="Y31" s="61">
        <f t="shared" si="17"/>
        <v>0</v>
      </c>
      <c r="Z31" s="110" t="str">
        <f>'CORE  2019'!W23</f>
        <v>y</v>
      </c>
    </row>
    <row r="32" spans="1:26" s="121" customFormat="1" ht="31.5">
      <c r="A32" s="69" t="str">
        <f>'CORE  2019'!B24</f>
        <v>131.04.01.06</v>
      </c>
      <c r="B32" s="69" t="str">
        <f>'CORE  2019'!C24</f>
        <v>Cryostat Top infrastructure</v>
      </c>
      <c r="C32" s="126">
        <f>'CORE  2019'!D24</f>
        <v>1</v>
      </c>
      <c r="D32" s="76" t="str">
        <f>'CORE  2019'!E24</f>
        <v>lights under the mezzanines</v>
      </c>
      <c r="E32" s="108">
        <f>'CORE  2019'!$J$24</f>
        <v>7.8</v>
      </c>
      <c r="F32" s="94">
        <f t="shared" si="3"/>
        <v>0.2</v>
      </c>
      <c r="G32" s="93">
        <f t="shared" si="4"/>
        <v>1.56</v>
      </c>
      <c r="H32" s="94">
        <f t="shared" si="5"/>
        <v>0.12</v>
      </c>
      <c r="I32" s="93">
        <f t="shared" si="6"/>
        <v>0.93599999999999994</v>
      </c>
      <c r="J32" s="95">
        <f t="shared" si="7"/>
        <v>7.8E-2</v>
      </c>
      <c r="K32" s="93">
        <f t="shared" si="8"/>
        <v>0.80308799999999991</v>
      </c>
      <c r="L32" s="95">
        <f t="shared" si="9"/>
        <v>8.5000000000000006E-2</v>
      </c>
      <c r="M32" s="93">
        <f t="shared" si="10"/>
        <v>0.66300000000000003</v>
      </c>
      <c r="N32" s="23">
        <f t="shared" si="11"/>
        <v>11.762088</v>
      </c>
      <c r="O32" s="122"/>
      <c r="P32" s="122"/>
      <c r="Q32" s="122"/>
      <c r="R32" s="8">
        <f t="shared" si="15"/>
        <v>7.0572527999999997</v>
      </c>
      <c r="S32" s="8">
        <f t="shared" si="16"/>
        <v>4.7048352000000007</v>
      </c>
      <c r="T32" s="8"/>
      <c r="U32" s="8"/>
      <c r="V32" s="122"/>
      <c r="W32" s="8"/>
      <c r="X32" s="122" t="s">
        <v>236</v>
      </c>
      <c r="Y32" s="61">
        <f t="shared" si="17"/>
        <v>0</v>
      </c>
      <c r="Z32" s="110" t="str">
        <f>'CORE  2019'!W24</f>
        <v>y</v>
      </c>
    </row>
    <row r="33" spans="1:26">
      <c r="A33" t="str">
        <f>'CORE  2019'!B25</f>
        <v>131.04.01.06</v>
      </c>
      <c r="B33" t="str">
        <f>'CORE  2019'!C25</f>
        <v>Cryostat Top infrastructure</v>
      </c>
      <c r="C33" s="110">
        <f>'CORE  2019'!D25</f>
        <v>1</v>
      </c>
      <c r="D33" t="str">
        <f>'CORE  2019'!E25</f>
        <v>V (power) cable trays + supports</v>
      </c>
      <c r="E33" s="108">
        <f>'CORE  2019'!J25</f>
        <v>39.130000000000003</v>
      </c>
      <c r="F33" s="94">
        <f t="shared" si="3"/>
        <v>0.2</v>
      </c>
      <c r="G33" s="93">
        <f t="shared" si="4"/>
        <v>7.8260000000000005</v>
      </c>
      <c r="H33" s="94">
        <f t="shared" si="5"/>
        <v>0.12</v>
      </c>
      <c r="I33" s="93">
        <f t="shared" si="6"/>
        <v>4.6955999999999998</v>
      </c>
      <c r="J33" s="95">
        <f t="shared" si="7"/>
        <v>7.8E-2</v>
      </c>
      <c r="K33" s="93">
        <f t="shared" si="8"/>
        <v>4.0288247999999998</v>
      </c>
      <c r="L33" s="95">
        <f t="shared" si="9"/>
        <v>8.5000000000000006E-2</v>
      </c>
      <c r="M33" s="93">
        <f t="shared" si="10"/>
        <v>3.3260500000000004</v>
      </c>
      <c r="N33" s="23">
        <f t="shared" si="11"/>
        <v>59.006474800000007</v>
      </c>
      <c r="O33" s="99"/>
      <c r="P33" s="99"/>
      <c r="Q33" s="99"/>
      <c r="R33" s="8">
        <f t="shared" si="13"/>
        <v>35.40388488</v>
      </c>
      <c r="S33" s="8">
        <f t="shared" si="14"/>
        <v>23.602589920000003</v>
      </c>
      <c r="T33" s="8"/>
      <c r="U33" s="8"/>
      <c r="V33" s="99"/>
      <c r="W33" s="8"/>
      <c r="X33" s="99" t="s">
        <v>236</v>
      </c>
      <c r="Y33" s="61">
        <f t="shared" si="12"/>
        <v>0</v>
      </c>
      <c r="Z33" s="110" t="str">
        <f>'CORE  2019'!W25</f>
        <v>y</v>
      </c>
    </row>
    <row r="34" spans="1:26">
      <c r="A34" t="str">
        <f>'CORE  2019'!B26</f>
        <v>131.04.01.06</v>
      </c>
      <c r="B34" t="str">
        <f>'CORE  2019'!C26</f>
        <v>Cryostat Top infrastructure</v>
      </c>
      <c r="C34" s="110">
        <f>'CORE  2019'!D26</f>
        <v>1</v>
      </c>
      <c r="D34" t="str">
        <f>'CORE  2019'!E26</f>
        <v>signals cable trays + supports</v>
      </c>
      <c r="E34" s="108">
        <f>'CORE  2019'!J26</f>
        <v>39.130000000000003</v>
      </c>
      <c r="F34" s="94">
        <f t="shared" si="3"/>
        <v>0.2</v>
      </c>
      <c r="G34" s="93">
        <f t="shared" si="4"/>
        <v>7.8260000000000005</v>
      </c>
      <c r="H34" s="94">
        <f t="shared" si="5"/>
        <v>0.12</v>
      </c>
      <c r="I34" s="93">
        <f t="shared" si="6"/>
        <v>4.6955999999999998</v>
      </c>
      <c r="J34" s="95">
        <f t="shared" si="7"/>
        <v>7.8E-2</v>
      </c>
      <c r="K34" s="93">
        <f t="shared" si="8"/>
        <v>4.0288247999999998</v>
      </c>
      <c r="L34" s="95">
        <f t="shared" si="9"/>
        <v>8.5000000000000006E-2</v>
      </c>
      <c r="M34" s="93">
        <f t="shared" si="10"/>
        <v>3.3260500000000004</v>
      </c>
      <c r="N34" s="23">
        <f t="shared" si="11"/>
        <v>59.006474800000007</v>
      </c>
      <c r="O34" s="99"/>
      <c r="P34" s="99"/>
      <c r="Q34" s="99"/>
      <c r="R34" s="8">
        <f t="shared" si="13"/>
        <v>35.40388488</v>
      </c>
      <c r="S34" s="8">
        <f t="shared" si="14"/>
        <v>23.602589920000003</v>
      </c>
      <c r="T34" s="8"/>
      <c r="U34" s="8"/>
      <c r="V34" s="99"/>
      <c r="W34" s="8"/>
      <c r="X34" s="99" t="s">
        <v>236</v>
      </c>
      <c r="Y34" s="61">
        <f t="shared" si="12"/>
        <v>0</v>
      </c>
      <c r="Z34" s="110" t="str">
        <f>'CORE  2019'!W26</f>
        <v>y</v>
      </c>
    </row>
    <row r="35" spans="1:26">
      <c r="A35" t="str">
        <f>'CORE  2019'!B27</f>
        <v>131.04.01.06</v>
      </c>
      <c r="B35" t="str">
        <f>'CORE  2019'!C27</f>
        <v>Cryostat Top infrastructure</v>
      </c>
      <c r="C35" s="110">
        <f>'CORE  2019'!D27</f>
        <v>1</v>
      </c>
      <c r="D35" t="str">
        <f>'CORE  2019'!E27</f>
        <v>copper grounding for the cable trays</v>
      </c>
      <c r="E35" s="108">
        <f>'CORE  2019'!J27</f>
        <v>89.44</v>
      </c>
      <c r="F35" s="94">
        <f t="shared" si="3"/>
        <v>0.2</v>
      </c>
      <c r="G35" s="93">
        <f t="shared" si="4"/>
        <v>17.888000000000002</v>
      </c>
      <c r="H35" s="94">
        <f t="shared" si="5"/>
        <v>0.12</v>
      </c>
      <c r="I35" s="93">
        <f t="shared" si="6"/>
        <v>10.732799999999999</v>
      </c>
      <c r="J35" s="95">
        <f t="shared" si="7"/>
        <v>7.8E-2</v>
      </c>
      <c r="K35" s="93">
        <f t="shared" si="8"/>
        <v>9.2087424000000002</v>
      </c>
      <c r="L35" s="95">
        <f t="shared" si="9"/>
        <v>8.5000000000000006E-2</v>
      </c>
      <c r="M35" s="93">
        <f t="shared" si="10"/>
        <v>7.6024000000000003</v>
      </c>
      <c r="N35" s="23">
        <f t="shared" si="11"/>
        <v>134.87194239999999</v>
      </c>
      <c r="O35" s="99"/>
      <c r="P35" s="99"/>
      <c r="Q35" s="99"/>
      <c r="R35" s="8">
        <f t="shared" si="13"/>
        <v>80.923165439999991</v>
      </c>
      <c r="S35" s="8">
        <f t="shared" si="14"/>
        <v>53.948776960000004</v>
      </c>
      <c r="T35" s="8"/>
      <c r="U35" s="8"/>
      <c r="V35" s="99"/>
      <c r="W35" s="8"/>
      <c r="X35" s="99" t="s">
        <v>236</v>
      </c>
      <c r="Y35" s="61">
        <f t="shared" si="12"/>
        <v>0</v>
      </c>
      <c r="Z35" s="110" t="str">
        <f>'CORE  2019'!W27</f>
        <v>y</v>
      </c>
    </row>
    <row r="36" spans="1:26">
      <c r="A36" t="str">
        <f>'CORE  2019'!B28</f>
        <v>131.04.01.06</v>
      </c>
      <c r="B36" t="str">
        <f>'CORE  2019'!C28</f>
        <v>Cryostat Top infrastructure labor</v>
      </c>
      <c r="C36" s="110">
        <f>'CORE  2019'!D28</f>
        <v>1</v>
      </c>
      <c r="D36" t="str">
        <f>'CORE  2019'!E28</f>
        <v>specialized welders team det1</v>
      </c>
      <c r="E36" s="108">
        <f>'CORE  2019'!J28</f>
        <v>299.33279999999996</v>
      </c>
      <c r="F36" s="94">
        <f>$A$6</f>
        <v>0.1</v>
      </c>
      <c r="G36" s="93">
        <f t="shared" si="4"/>
        <v>29.933279999999996</v>
      </c>
      <c r="H36" s="94">
        <f t="shared" si="5"/>
        <v>0.12</v>
      </c>
      <c r="I36" s="93">
        <f t="shared" si="6"/>
        <v>35.919935999999993</v>
      </c>
      <c r="J36" s="95">
        <f>$A$5</f>
        <v>1.48</v>
      </c>
      <c r="K36" s="93">
        <f t="shared" si="8"/>
        <v>540.47530368000002</v>
      </c>
      <c r="L36" s="95">
        <v>0</v>
      </c>
      <c r="M36" s="93">
        <f t="shared" si="10"/>
        <v>0</v>
      </c>
      <c r="N36" s="23">
        <f t="shared" si="11"/>
        <v>905.66131968000002</v>
      </c>
      <c r="O36" s="99"/>
      <c r="P36" s="99"/>
      <c r="Q36" s="99"/>
      <c r="R36" s="8">
        <f t="shared" si="13"/>
        <v>543.39679180799999</v>
      </c>
      <c r="S36" s="8">
        <f t="shared" si="14"/>
        <v>362.26452787200003</v>
      </c>
      <c r="T36" s="8"/>
      <c r="U36" s="8"/>
      <c r="V36" s="99"/>
      <c r="W36" s="8"/>
      <c r="X36" s="99" t="s">
        <v>300</v>
      </c>
      <c r="Y36" s="61">
        <f t="shared" si="12"/>
        <v>0</v>
      </c>
      <c r="Z36" s="110" t="str">
        <f>'CORE  2019'!W28</f>
        <v>y</v>
      </c>
    </row>
    <row r="37" spans="1:26">
      <c r="A37" t="str">
        <f>'CORE  2019'!B29</f>
        <v>131.04.01.06</v>
      </c>
      <c r="B37" t="str">
        <f>'CORE  2019'!C29</f>
        <v>Cryostat Top infrastructure</v>
      </c>
      <c r="C37" s="110">
        <f>'CORE  2019'!D29</f>
        <v>1</v>
      </c>
      <c r="D37" t="str">
        <f>'CORE  2019'!E29</f>
        <v>walking floor</v>
      </c>
      <c r="E37" s="108">
        <f>'CORE  2019'!J29</f>
        <v>62.634</v>
      </c>
      <c r="F37" s="94">
        <f t="shared" si="3"/>
        <v>0.2</v>
      </c>
      <c r="G37" s="93">
        <f t="shared" si="4"/>
        <v>12.526800000000001</v>
      </c>
      <c r="H37" s="94">
        <f t="shared" si="5"/>
        <v>0.12</v>
      </c>
      <c r="I37" s="93">
        <f t="shared" si="6"/>
        <v>7.5160799999999997</v>
      </c>
      <c r="J37" s="95">
        <f t="shared" ref="J37:J46" si="18">$A$3</f>
        <v>7.8E-2</v>
      </c>
      <c r="K37" s="93">
        <f t="shared" si="8"/>
        <v>6.4487966399999994</v>
      </c>
      <c r="L37" s="95">
        <f t="shared" si="9"/>
        <v>8.5000000000000006E-2</v>
      </c>
      <c r="M37" s="93">
        <f t="shared" si="10"/>
        <v>5.3238900000000005</v>
      </c>
      <c r="N37" s="23">
        <f t="shared" si="11"/>
        <v>94.44956664</v>
      </c>
      <c r="O37" s="99"/>
      <c r="P37" s="99"/>
      <c r="Q37" s="99"/>
      <c r="R37" s="8"/>
      <c r="S37" s="8">
        <f>N37</f>
        <v>94.44956664</v>
      </c>
      <c r="T37" s="8"/>
      <c r="U37" s="8"/>
      <c r="V37" s="99"/>
      <c r="W37" s="8"/>
      <c r="X37" s="99" t="s">
        <v>236</v>
      </c>
      <c r="Y37" s="61">
        <f t="shared" si="12"/>
        <v>0</v>
      </c>
      <c r="Z37" s="110" t="str">
        <f>'CORE  2019'!W29</f>
        <v>y</v>
      </c>
    </row>
    <row r="38" spans="1:26">
      <c r="A38" t="str">
        <f>'CORE  2019'!B30</f>
        <v>131.04.01.06</v>
      </c>
      <c r="B38" t="str">
        <f>'CORE  2019'!C30</f>
        <v>Cryostat Top infrastructure</v>
      </c>
      <c r="C38" s="110">
        <f>'CORE  2019'!D30</f>
        <v>1</v>
      </c>
      <c r="D38" t="str">
        <f>'CORE  2019'!E30</f>
        <v>cable tray from CUC to racks mezzanine</v>
      </c>
      <c r="E38" s="108">
        <f>'CORE  2019'!J30</f>
        <v>61.88</v>
      </c>
      <c r="F38" s="94">
        <f t="shared" si="3"/>
        <v>0.2</v>
      </c>
      <c r="G38" s="93">
        <f t="shared" si="4"/>
        <v>12.376000000000001</v>
      </c>
      <c r="H38" s="94">
        <f t="shared" si="5"/>
        <v>0.12</v>
      </c>
      <c r="I38" s="93">
        <f t="shared" si="6"/>
        <v>7.4256000000000002</v>
      </c>
      <c r="J38" s="95">
        <f t="shared" si="18"/>
        <v>7.8E-2</v>
      </c>
      <c r="K38" s="93">
        <f t="shared" si="8"/>
        <v>6.3711647999999999</v>
      </c>
      <c r="L38" s="95">
        <f t="shared" si="9"/>
        <v>8.5000000000000006E-2</v>
      </c>
      <c r="M38" s="93">
        <f t="shared" si="10"/>
        <v>5.2598000000000003</v>
      </c>
      <c r="N38" s="23">
        <f t="shared" si="11"/>
        <v>93.312564800000004</v>
      </c>
      <c r="O38" s="99"/>
      <c r="P38" s="99"/>
      <c r="Q38" s="99"/>
      <c r="R38" s="8"/>
      <c r="S38" s="8">
        <f>N38</f>
        <v>93.312564800000004</v>
      </c>
      <c r="T38" s="8"/>
      <c r="U38" s="8"/>
      <c r="V38" s="99"/>
      <c r="W38" s="8"/>
      <c r="X38" s="99" t="s">
        <v>236</v>
      </c>
      <c r="Y38" s="61">
        <f t="shared" si="12"/>
        <v>0</v>
      </c>
      <c r="Z38" s="110" t="str">
        <f>'CORE  2019'!W30</f>
        <v>y</v>
      </c>
    </row>
    <row r="39" spans="1:26">
      <c r="A39" t="str">
        <f>'CORE  2019'!B31</f>
        <v>131.04.01.06</v>
      </c>
      <c r="B39" t="str">
        <f>'CORE  2019'!C31</f>
        <v>Cryostat Top infrastructure</v>
      </c>
      <c r="C39" s="110">
        <f>'CORE  2019'!D31</f>
        <v>1</v>
      </c>
      <c r="D39" t="str">
        <f>'CORE  2019'!E31</f>
        <v>power racks on mezzanine</v>
      </c>
      <c r="E39" s="108">
        <f>'CORE  2019'!J31</f>
        <v>225.31080000000003</v>
      </c>
      <c r="F39" s="94">
        <f t="shared" si="3"/>
        <v>0.2</v>
      </c>
      <c r="G39" s="93">
        <f t="shared" si="4"/>
        <v>45.062160000000006</v>
      </c>
      <c r="H39" s="94">
        <f t="shared" si="5"/>
        <v>0.12</v>
      </c>
      <c r="I39" s="93">
        <f t="shared" si="6"/>
        <v>27.037296000000001</v>
      </c>
      <c r="J39" s="95">
        <f t="shared" si="18"/>
        <v>7.8E-2</v>
      </c>
      <c r="K39" s="93">
        <f t="shared" si="8"/>
        <v>23.197999968000005</v>
      </c>
      <c r="L39" s="95">
        <f t="shared" si="9"/>
        <v>8.5000000000000006E-2</v>
      </c>
      <c r="M39" s="93">
        <f t="shared" si="10"/>
        <v>19.151418000000003</v>
      </c>
      <c r="N39" s="23">
        <f t="shared" si="11"/>
        <v>339.75967396800007</v>
      </c>
      <c r="O39" s="99"/>
      <c r="P39" s="99"/>
      <c r="Q39" s="99"/>
      <c r="R39" s="8"/>
      <c r="S39" s="8">
        <f>N39</f>
        <v>339.75967396800007</v>
      </c>
      <c r="T39" s="8"/>
      <c r="U39" s="8"/>
      <c r="V39" s="99"/>
      <c r="W39" s="8"/>
      <c r="X39" s="99" t="s">
        <v>236</v>
      </c>
      <c r="Y39" s="61">
        <f t="shared" si="12"/>
        <v>0</v>
      </c>
      <c r="Z39" s="110" t="str">
        <f>'CORE  2019'!W31</f>
        <v>y</v>
      </c>
    </row>
    <row r="40" spans="1:26">
      <c r="A40" t="str">
        <f>'CORE  2019'!B32</f>
        <v>131.04.01.06</v>
      </c>
      <c r="B40" t="str">
        <f>'CORE  2019'!C32</f>
        <v>Cryostat Top infrastructure</v>
      </c>
      <c r="C40" s="110">
        <f>'CORE  2019'!D32</f>
        <v>1</v>
      </c>
      <c r="D40" t="str">
        <f>'CORE  2019'!E32</f>
        <v>racks internal power distribution</v>
      </c>
      <c r="E40" s="108">
        <f>'CORE  2019'!J32</f>
        <v>30.825600000000001</v>
      </c>
      <c r="F40" s="94">
        <f t="shared" si="3"/>
        <v>0.2</v>
      </c>
      <c r="G40" s="93">
        <f t="shared" si="4"/>
        <v>6.1651200000000008</v>
      </c>
      <c r="H40" s="94">
        <f t="shared" si="5"/>
        <v>0.12</v>
      </c>
      <c r="I40" s="93">
        <f t="shared" si="6"/>
        <v>3.6990720000000001</v>
      </c>
      <c r="J40" s="95">
        <f t="shared" si="18"/>
        <v>7.8E-2</v>
      </c>
      <c r="K40" s="93">
        <f t="shared" si="8"/>
        <v>3.1738037760000002</v>
      </c>
      <c r="L40" s="95">
        <f t="shared" si="9"/>
        <v>8.5000000000000006E-2</v>
      </c>
      <c r="M40" s="93">
        <f t="shared" si="10"/>
        <v>2.6201760000000003</v>
      </c>
      <c r="N40" s="23">
        <f t="shared" si="11"/>
        <v>46.483771776000005</v>
      </c>
      <c r="O40" s="99"/>
      <c r="P40" s="99"/>
      <c r="Q40" s="99"/>
      <c r="R40" s="8"/>
      <c r="S40" s="8">
        <f>N40*0.6</f>
        <v>27.890263065600003</v>
      </c>
      <c r="T40" s="8">
        <f>N40*0.4</f>
        <v>18.593508710400002</v>
      </c>
      <c r="U40" s="8"/>
      <c r="V40" s="99"/>
      <c r="W40" s="8"/>
      <c r="X40" s="99" t="s">
        <v>236</v>
      </c>
      <c r="Y40" s="61">
        <f t="shared" si="12"/>
        <v>0</v>
      </c>
      <c r="Z40" s="110" t="str">
        <f>'CORE  2019'!W32</f>
        <v>y</v>
      </c>
    </row>
    <row r="41" spans="1:26">
      <c r="A41" t="str">
        <f>'CORE  2019'!B33</f>
        <v>131.04.01.06</v>
      </c>
      <c r="B41" t="str">
        <f>'CORE  2019'!C33</f>
        <v>Cryostat Top infrastructure</v>
      </c>
      <c r="C41" s="110">
        <f>'CORE  2019'!D33</f>
        <v>1</v>
      </c>
      <c r="D41" t="str">
        <f>'CORE  2019'!E33</f>
        <v>racks controls + safety</v>
      </c>
      <c r="E41" s="108">
        <f>'CORE  2019'!J33</f>
        <v>425.88</v>
      </c>
      <c r="F41" s="94">
        <f t="shared" si="3"/>
        <v>0.2</v>
      </c>
      <c r="G41" s="93">
        <f t="shared" si="4"/>
        <v>85.176000000000002</v>
      </c>
      <c r="H41" s="94">
        <f t="shared" si="5"/>
        <v>0.12</v>
      </c>
      <c r="I41" s="93">
        <f t="shared" si="6"/>
        <v>51.105599999999995</v>
      </c>
      <c r="J41" s="95">
        <f t="shared" si="18"/>
        <v>7.8E-2</v>
      </c>
      <c r="K41" s="93">
        <f t="shared" si="8"/>
        <v>43.848604800000004</v>
      </c>
      <c r="L41" s="95">
        <f t="shared" si="9"/>
        <v>8.5000000000000006E-2</v>
      </c>
      <c r="M41" s="93">
        <f t="shared" si="10"/>
        <v>36.199800000000003</v>
      </c>
      <c r="N41" s="23">
        <f t="shared" si="11"/>
        <v>642.21000479999998</v>
      </c>
      <c r="O41" s="99"/>
      <c r="P41" s="99"/>
      <c r="Q41" s="99"/>
      <c r="R41" s="8"/>
      <c r="S41" s="8">
        <f>N41*0.6</f>
        <v>385.32600287999998</v>
      </c>
      <c r="T41" s="8">
        <f>N41*0.4</f>
        <v>256.88400192</v>
      </c>
      <c r="U41" s="8"/>
      <c r="V41" s="99"/>
      <c r="W41" s="8"/>
      <c r="X41" s="99" t="s">
        <v>236</v>
      </c>
      <c r="Y41" s="61">
        <f t="shared" si="12"/>
        <v>0</v>
      </c>
      <c r="Z41" s="110" t="str">
        <f>'CORE  2019'!W33</f>
        <v>y</v>
      </c>
    </row>
    <row r="42" spans="1:26">
      <c r="A42" t="str">
        <f>'CORE  2019'!B34</f>
        <v>131.04.01.06</v>
      </c>
      <c r="B42" t="str">
        <f>'CORE  2019'!C34</f>
        <v>Cryostat Top infrastructure</v>
      </c>
      <c r="C42" s="110">
        <f>'CORE  2019'!D34</f>
        <v>1</v>
      </c>
      <c r="D42" t="str">
        <f>'CORE  2019'!E34</f>
        <v>cryo vertical access doors</v>
      </c>
      <c r="E42" s="108">
        <f>'CORE  2019'!J34</f>
        <v>274.56</v>
      </c>
      <c r="F42" s="94">
        <f t="shared" si="3"/>
        <v>0.2</v>
      </c>
      <c r="G42" s="93">
        <f t="shared" si="4"/>
        <v>54.912000000000006</v>
      </c>
      <c r="H42" s="94">
        <f t="shared" si="5"/>
        <v>0.12</v>
      </c>
      <c r="I42" s="93">
        <f t="shared" si="6"/>
        <v>32.947200000000002</v>
      </c>
      <c r="J42" s="95">
        <f t="shared" si="18"/>
        <v>7.8E-2</v>
      </c>
      <c r="K42" s="93">
        <f t="shared" si="8"/>
        <v>28.268697599999999</v>
      </c>
      <c r="L42" s="95">
        <f t="shared" si="9"/>
        <v>8.5000000000000006E-2</v>
      </c>
      <c r="M42" s="93">
        <f t="shared" si="10"/>
        <v>23.337600000000002</v>
      </c>
      <c r="N42" s="23">
        <f t="shared" si="11"/>
        <v>414.02549759999999</v>
      </c>
      <c r="O42" s="99"/>
      <c r="P42" s="99"/>
      <c r="Q42" s="99"/>
      <c r="R42" s="8"/>
      <c r="S42" s="8">
        <f>N42*0.6</f>
        <v>248.41529856</v>
      </c>
      <c r="T42" s="8">
        <f>N42*0.4</f>
        <v>165.61019904</v>
      </c>
      <c r="U42" s="8"/>
      <c r="V42" s="99"/>
      <c r="W42" s="8"/>
      <c r="X42" s="99" t="s">
        <v>236</v>
      </c>
      <c r="Y42" s="61">
        <f t="shared" si="12"/>
        <v>0</v>
      </c>
      <c r="Z42" s="110" t="str">
        <f>'CORE  2019'!W34</f>
        <v>y</v>
      </c>
    </row>
    <row r="43" spans="1:26">
      <c r="A43" t="str">
        <f>'CORE  2019'!B35</f>
        <v>131.04.01.06</v>
      </c>
      <c r="B43" t="str">
        <f>'CORE  2019'!C35</f>
        <v>Cryostat Top infrastructure</v>
      </c>
      <c r="C43" s="110">
        <f>'CORE  2019'!D35</f>
        <v>1</v>
      </c>
      <c r="D43" t="str">
        <f>'CORE  2019'!E35</f>
        <v>miniracks + supports</v>
      </c>
      <c r="E43" s="108">
        <f>'CORE  2019'!J35</f>
        <v>43.875</v>
      </c>
      <c r="F43" s="94">
        <f t="shared" si="3"/>
        <v>0.2</v>
      </c>
      <c r="G43" s="93">
        <f t="shared" si="4"/>
        <v>8.7750000000000004</v>
      </c>
      <c r="H43" s="94">
        <f t="shared" si="5"/>
        <v>0.12</v>
      </c>
      <c r="I43" s="93">
        <f t="shared" si="6"/>
        <v>5.2649999999999997</v>
      </c>
      <c r="J43" s="95">
        <f t="shared" si="18"/>
        <v>7.8E-2</v>
      </c>
      <c r="K43" s="93">
        <f t="shared" si="8"/>
        <v>4.5173699999999997</v>
      </c>
      <c r="L43" s="95">
        <f t="shared" si="9"/>
        <v>8.5000000000000006E-2</v>
      </c>
      <c r="M43" s="93">
        <f t="shared" si="10"/>
        <v>3.7293750000000001</v>
      </c>
      <c r="N43" s="23">
        <f t="shared" si="11"/>
        <v>66.161744999999996</v>
      </c>
      <c r="O43" s="99"/>
      <c r="P43" s="99"/>
      <c r="Q43" s="99"/>
      <c r="R43" s="8"/>
      <c r="S43" s="8">
        <f>N43*0.6</f>
        <v>39.697046999999998</v>
      </c>
      <c r="T43" s="8">
        <f>N43*0.4</f>
        <v>26.464697999999999</v>
      </c>
      <c r="U43" s="8"/>
      <c r="V43" s="99"/>
      <c r="W43" s="8"/>
      <c r="X43" s="99" t="s">
        <v>236</v>
      </c>
      <c r="Y43" s="61">
        <f t="shared" si="12"/>
        <v>0</v>
      </c>
      <c r="Z43" s="110" t="str">
        <f>'CORE  2019'!W35</f>
        <v>y</v>
      </c>
    </row>
    <row r="44" spans="1:26">
      <c r="A44" t="str">
        <f>'CORE  2019'!B36</f>
        <v>131.04.01.06</v>
      </c>
      <c r="B44" s="106" t="str">
        <f>'CORE  2019'!C36</f>
        <v>Cryostat Top infrastructure</v>
      </c>
      <c r="C44" s="110">
        <f>'CORE  2019'!D36</f>
        <v>1</v>
      </c>
      <c r="D44" t="str">
        <f>'CORE  2019'!E36</f>
        <v>Water cryo traps</v>
      </c>
      <c r="E44" s="108">
        <f>'CORE  2019'!J36</f>
        <v>52</v>
      </c>
      <c r="F44" s="94">
        <f t="shared" si="3"/>
        <v>0.2</v>
      </c>
      <c r="G44" s="93">
        <f t="shared" si="4"/>
        <v>10.4</v>
      </c>
      <c r="H44" s="94">
        <f t="shared" si="5"/>
        <v>0.12</v>
      </c>
      <c r="I44" s="93">
        <f t="shared" si="6"/>
        <v>6.24</v>
      </c>
      <c r="J44" s="95">
        <f t="shared" si="18"/>
        <v>7.8E-2</v>
      </c>
      <c r="K44" s="93">
        <f t="shared" si="8"/>
        <v>5.3539200000000005</v>
      </c>
      <c r="L44" s="95">
        <f t="shared" si="9"/>
        <v>8.5000000000000006E-2</v>
      </c>
      <c r="M44" s="93">
        <f t="shared" si="10"/>
        <v>4.42</v>
      </c>
      <c r="N44" s="23">
        <f t="shared" si="11"/>
        <v>78.413920000000005</v>
      </c>
      <c r="O44" s="23"/>
      <c r="P44" s="99"/>
      <c r="Q44" s="97"/>
      <c r="R44" s="8"/>
      <c r="S44" s="8"/>
      <c r="T44" s="8"/>
      <c r="U44" s="8">
        <f>N44</f>
        <v>78.413920000000005</v>
      </c>
      <c r="V44" s="99"/>
      <c r="W44" s="8"/>
      <c r="X44" s="99" t="s">
        <v>236</v>
      </c>
      <c r="Y44" s="61">
        <f t="shared" si="12"/>
        <v>0</v>
      </c>
      <c r="Z44" s="110" t="str">
        <f>'CORE  2019'!W36</f>
        <v>y</v>
      </c>
    </row>
    <row r="45" spans="1:26">
      <c r="A45" t="str">
        <f>'CORE  2019'!B37</f>
        <v>131.04.01.06</v>
      </c>
      <c r="B45" t="str">
        <f>'CORE  2019'!C37</f>
        <v>Cryostat Top infrastructure</v>
      </c>
      <c r="C45" s="110">
        <f>'CORE  2019'!D37</f>
        <v>1</v>
      </c>
      <c r="D45" t="str">
        <f>'CORE  2019'!E37</f>
        <v>valves for the GN2 insulation control</v>
      </c>
      <c r="E45" s="108">
        <f>'CORE  2019'!J37</f>
        <v>11.752000000000001</v>
      </c>
      <c r="F45" s="94">
        <f t="shared" si="3"/>
        <v>0.2</v>
      </c>
      <c r="G45" s="93">
        <f t="shared" si="4"/>
        <v>2.3504</v>
      </c>
      <c r="H45" s="94">
        <f t="shared" si="5"/>
        <v>0.12</v>
      </c>
      <c r="I45" s="93">
        <f t="shared" si="6"/>
        <v>1.4102399999999999</v>
      </c>
      <c r="J45" s="95">
        <f t="shared" si="18"/>
        <v>7.8E-2</v>
      </c>
      <c r="K45" s="93">
        <f t="shared" si="8"/>
        <v>1.20998592</v>
      </c>
      <c r="L45" s="95">
        <f t="shared" si="9"/>
        <v>8.5000000000000006E-2</v>
      </c>
      <c r="M45" s="93">
        <f t="shared" si="10"/>
        <v>0.99892000000000014</v>
      </c>
      <c r="N45" s="23">
        <f t="shared" si="11"/>
        <v>17.721545920000004</v>
      </c>
      <c r="O45" s="99"/>
      <c r="P45" s="99"/>
      <c r="Q45" s="99"/>
      <c r="R45" s="28"/>
      <c r="S45" s="8"/>
      <c r="T45" s="8">
        <f>N45</f>
        <v>17.721545920000004</v>
      </c>
      <c r="U45" s="8"/>
      <c r="V45" s="99"/>
      <c r="W45" s="8"/>
      <c r="X45" s="99" t="s">
        <v>236</v>
      </c>
      <c r="Y45" s="61">
        <f t="shared" si="12"/>
        <v>0</v>
      </c>
      <c r="Z45" s="110" t="str">
        <f>'CORE  2019'!W37</f>
        <v>y</v>
      </c>
    </row>
    <row r="46" spans="1:26">
      <c r="A46" t="str">
        <f>'CORE  2019'!B38</f>
        <v>131.04.01.06</v>
      </c>
      <c r="B46" t="str">
        <f>'CORE  2019'!C38</f>
        <v>Cryostat Top infrastructure</v>
      </c>
      <c r="C46" s="110">
        <f>'CORE  2019'!D38</f>
        <v>2</v>
      </c>
      <c r="D46" t="str">
        <f>'CORE  2019'!E38</f>
        <v>M&amp;S det2 same as det1</v>
      </c>
      <c r="E46" s="108">
        <f>'CORE  2019'!J38</f>
        <v>2283.9348999999997</v>
      </c>
      <c r="F46" s="94">
        <f t="shared" si="3"/>
        <v>0.2</v>
      </c>
      <c r="G46" s="93">
        <f t="shared" si="4"/>
        <v>456.78697999999997</v>
      </c>
      <c r="H46" s="94">
        <f t="shared" si="5"/>
        <v>0.12</v>
      </c>
      <c r="I46" s="93">
        <f t="shared" si="6"/>
        <v>274.07218799999998</v>
      </c>
      <c r="J46" s="95">
        <f t="shared" si="18"/>
        <v>7.8E-2</v>
      </c>
      <c r="K46" s="93">
        <f t="shared" si="8"/>
        <v>235.15393730399998</v>
      </c>
      <c r="L46" s="95">
        <f t="shared" si="9"/>
        <v>8.5000000000000006E-2</v>
      </c>
      <c r="M46" s="93">
        <f t="shared" si="10"/>
        <v>194.1344665</v>
      </c>
      <c r="N46" s="23">
        <f t="shared" si="11"/>
        <v>3444.0824718039999</v>
      </c>
      <c r="O46" s="99"/>
      <c r="P46" s="99"/>
      <c r="Q46" s="99"/>
      <c r="R46" s="28"/>
      <c r="S46" s="8"/>
      <c r="T46" s="8">
        <f>N46*0.4</f>
        <v>1377.6329887216</v>
      </c>
      <c r="U46" s="8">
        <f>N46*0.4</f>
        <v>1377.6329887216</v>
      </c>
      <c r="V46" s="99">
        <f>N46*0.2</f>
        <v>688.81649436079999</v>
      </c>
      <c r="W46" s="8"/>
      <c r="X46" s="99" t="s">
        <v>236</v>
      </c>
      <c r="Y46" s="61">
        <f t="shared" si="12"/>
        <v>0</v>
      </c>
      <c r="Z46" s="110" t="str">
        <f>'CORE  2019'!W38</f>
        <v>y</v>
      </c>
    </row>
    <row r="47" spans="1:26">
      <c r="A47" t="str">
        <f>'CORE  2019'!B39</f>
        <v>131.04.01.06</v>
      </c>
      <c r="B47" s="106" t="str">
        <f>'CORE  2019'!C39</f>
        <v>Cryostat Top infrastructure labor</v>
      </c>
      <c r="C47" s="110">
        <f>'CORE  2019'!D39</f>
        <v>2</v>
      </c>
      <c r="D47" t="str">
        <f>'CORE  2019'!E39</f>
        <v>specialised welders team det2</v>
      </c>
      <c r="E47" s="108">
        <f>'CORE  2019'!J39</f>
        <v>299.33279999999996</v>
      </c>
      <c r="F47" s="94">
        <f>$A$6</f>
        <v>0.1</v>
      </c>
      <c r="G47" s="93">
        <f t="shared" si="4"/>
        <v>29.933279999999996</v>
      </c>
      <c r="H47" s="94">
        <f t="shared" si="5"/>
        <v>0.12</v>
      </c>
      <c r="I47" s="93">
        <f t="shared" si="6"/>
        <v>35.919935999999993</v>
      </c>
      <c r="J47" s="95">
        <f>$A$5</f>
        <v>1.48</v>
      </c>
      <c r="K47" s="93">
        <f t="shared" si="8"/>
        <v>540.47530368000002</v>
      </c>
      <c r="L47" s="95">
        <v>0</v>
      </c>
      <c r="M47" s="93">
        <f t="shared" si="10"/>
        <v>0</v>
      </c>
      <c r="N47" s="23">
        <f t="shared" si="11"/>
        <v>905.66131968000002</v>
      </c>
      <c r="O47" s="99"/>
      <c r="P47" s="99"/>
      <c r="Q47" s="99"/>
      <c r="R47" s="28"/>
      <c r="S47" s="8"/>
      <c r="T47" s="8">
        <f>N47*0.6</f>
        <v>543.39679180799999</v>
      </c>
      <c r="U47" s="8">
        <f>N47*0.4</f>
        <v>362.26452787200003</v>
      </c>
      <c r="V47" s="99"/>
      <c r="W47" s="8"/>
      <c r="X47" s="99" t="s">
        <v>300</v>
      </c>
      <c r="Y47" s="61">
        <f t="shared" si="12"/>
        <v>0</v>
      </c>
      <c r="Z47" s="110" t="str">
        <f>'CORE  2019'!W39</f>
        <v>y</v>
      </c>
    </row>
    <row r="48" spans="1:26">
      <c r="A48" t="s">
        <v>0</v>
      </c>
      <c r="B48" t="s">
        <v>0</v>
      </c>
      <c r="C48" s="110" t="s">
        <v>0</v>
      </c>
      <c r="D48" t="s">
        <v>0</v>
      </c>
      <c r="E48" s="108" t="s">
        <v>0</v>
      </c>
      <c r="G48" s="123"/>
      <c r="J48" s="149"/>
      <c r="K48" s="93" t="s">
        <v>0</v>
      </c>
      <c r="N48" s="23" t="s">
        <v>0</v>
      </c>
      <c r="O48" s="99"/>
      <c r="P48" s="99"/>
      <c r="Q48" s="99"/>
      <c r="R48" s="28"/>
      <c r="S48" s="8"/>
      <c r="T48" s="8"/>
      <c r="U48" s="8"/>
      <c r="V48" s="99"/>
      <c r="W48" s="8"/>
      <c r="X48" s="99"/>
      <c r="Y48" s="8" t="s">
        <v>0</v>
      </c>
      <c r="Z48" s="110" t="str">
        <f>'CORE  2019'!W40</f>
        <v xml:space="preserve"> </v>
      </c>
    </row>
    <row r="49" spans="1:26">
      <c r="A49" s="113" t="s">
        <v>0</v>
      </c>
      <c r="B49" s="113" t="str">
        <f>'CORE  2019'!C41</f>
        <v>Int Cryogenics</v>
      </c>
      <c r="C49" s="114">
        <f>N51+N53</f>
        <v>1177.3597155840002</v>
      </c>
      <c r="D49" s="116">
        <f>N50+N52</f>
        <v>2398.677892104</v>
      </c>
      <c r="E49" s="108" t="s">
        <v>0</v>
      </c>
      <c r="G49" s="123"/>
      <c r="J49" s="149"/>
      <c r="K49" s="93" t="s">
        <v>0</v>
      </c>
      <c r="N49" s="23" t="s">
        <v>0</v>
      </c>
      <c r="O49" s="99"/>
      <c r="P49" s="99"/>
      <c r="Q49" s="99"/>
      <c r="R49" s="28"/>
      <c r="S49" s="8"/>
      <c r="T49" s="8"/>
      <c r="U49" s="8"/>
      <c r="V49" s="99"/>
      <c r="W49" s="8"/>
      <c r="X49" s="99"/>
      <c r="Y49" s="8" t="s">
        <v>0</v>
      </c>
      <c r="Z49" s="110" t="str">
        <f>'CORE  2019'!W41</f>
        <v xml:space="preserve"> </v>
      </c>
    </row>
    <row r="50" spans="1:26">
      <c r="A50" t="str">
        <f>'CORE  2019'!B42</f>
        <v>131.04.01.06</v>
      </c>
      <c r="B50" t="str">
        <f>'CORE  2019'!C42</f>
        <v>Int Cryogenics</v>
      </c>
      <c r="C50" s="110">
        <f>'CORE  2019'!D42</f>
        <v>1</v>
      </c>
      <c r="D50" t="str">
        <f>'CORE  2019'!E42</f>
        <v>pipes + fixations</v>
      </c>
      <c r="E50" s="108">
        <f>'CORE  2019'!J42</f>
        <v>795.33870000000002</v>
      </c>
      <c r="F50" s="94">
        <f>$A$7</f>
        <v>0.2</v>
      </c>
      <c r="G50" s="93">
        <f>F50*E50</f>
        <v>159.06774000000001</v>
      </c>
      <c r="H50" s="94">
        <f>$A$9</f>
        <v>0.12</v>
      </c>
      <c r="I50" s="93">
        <f>H50*E50</f>
        <v>95.440643999999992</v>
      </c>
      <c r="J50" s="95">
        <f>$A$3</f>
        <v>7.8E-2</v>
      </c>
      <c r="K50" s="93">
        <f>($E50+$G50+$I50)*$J50</f>
        <v>81.888072551999997</v>
      </c>
      <c r="L50" s="95">
        <f>$A$11</f>
        <v>8.5000000000000006E-2</v>
      </c>
      <c r="M50" s="93">
        <f>L50*E50</f>
        <v>67.603789500000005</v>
      </c>
      <c r="N50" s="23">
        <f>E50+G50+I50+K50+M50</f>
        <v>1199.338946052</v>
      </c>
      <c r="O50" s="99"/>
      <c r="P50" s="99"/>
      <c r="Q50" s="99"/>
      <c r="R50" s="8"/>
      <c r="S50" s="8">
        <f>N50</f>
        <v>1199.338946052</v>
      </c>
      <c r="T50" s="8"/>
      <c r="U50" s="8"/>
      <c r="V50" s="99"/>
      <c r="W50" s="8"/>
      <c r="X50" s="99" t="s">
        <v>236</v>
      </c>
      <c r="Y50" s="61">
        <f>SUM(O50:W50)-N50</f>
        <v>0</v>
      </c>
      <c r="Z50" s="110" t="str">
        <f>'CORE  2019'!W42</f>
        <v>y</v>
      </c>
    </row>
    <row r="51" spans="1:26">
      <c r="A51" t="str">
        <f>'CORE  2019'!B43</f>
        <v>131.04.01.06</v>
      </c>
      <c r="B51" t="str">
        <f>'CORE  2019'!C43</f>
        <v>Int Cryogenics labor</v>
      </c>
      <c r="C51" s="110">
        <f>'CORE  2019'!D43</f>
        <v>1</v>
      </c>
      <c r="D51" t="str">
        <f>'CORE  2019'!E43</f>
        <v>assembly work 3 FTE for 6 months</v>
      </c>
      <c r="E51" s="108">
        <f>'CORE  2019'!J43</f>
        <v>194.56632000000002</v>
      </c>
      <c r="F51" s="94">
        <f>$A$6</f>
        <v>0.1</v>
      </c>
      <c r="G51" s="93">
        <f>F51*E51</f>
        <v>19.456632000000003</v>
      </c>
      <c r="H51" s="94">
        <f>$A$9</f>
        <v>0.12</v>
      </c>
      <c r="I51" s="93">
        <f>H51*E51</f>
        <v>23.347958400000003</v>
      </c>
      <c r="J51" s="95">
        <f>$A$5</f>
        <v>1.48</v>
      </c>
      <c r="K51" s="93">
        <f>($E51+$G51+$I51)*$J51</f>
        <v>351.30894739200005</v>
      </c>
      <c r="L51" s="95">
        <v>0</v>
      </c>
      <c r="M51" s="93">
        <f>L51*E51</f>
        <v>0</v>
      </c>
      <c r="N51" s="23">
        <f>E51+G51+I51+K51+M51</f>
        <v>588.67985779200012</v>
      </c>
      <c r="O51" s="99"/>
      <c r="P51" s="99"/>
      <c r="Q51" s="99"/>
      <c r="R51" s="8"/>
      <c r="S51" s="8"/>
      <c r="T51" s="8">
        <f>N51</f>
        <v>588.67985779200012</v>
      </c>
      <c r="U51" s="8"/>
      <c r="V51" s="99"/>
      <c r="W51" s="8"/>
      <c r="X51" s="99" t="s">
        <v>300</v>
      </c>
      <c r="Y51" s="61">
        <f>SUM(O51:W51)-N51</f>
        <v>0</v>
      </c>
      <c r="Z51" s="110" t="str">
        <f>'CORE  2019'!W43</f>
        <v>y</v>
      </c>
    </row>
    <row r="52" spans="1:26">
      <c r="A52" t="str">
        <f>'CORE  2019'!B44</f>
        <v>131.04.01.06</v>
      </c>
      <c r="B52" t="str">
        <f>'CORE  2019'!C44</f>
        <v>Int Cryogenics</v>
      </c>
      <c r="C52" s="110">
        <f>'CORE  2019'!D44</f>
        <v>2</v>
      </c>
      <c r="D52" t="str">
        <f>'CORE  2019'!E44</f>
        <v>pipes + fixations</v>
      </c>
      <c r="E52" s="108">
        <f>'CORE  2019'!J44</f>
        <v>795.33870000000002</v>
      </c>
      <c r="F52" s="94">
        <f>$A$7</f>
        <v>0.2</v>
      </c>
      <c r="G52" s="93">
        <f>F52*E52</f>
        <v>159.06774000000001</v>
      </c>
      <c r="H52" s="94">
        <f>$A$9</f>
        <v>0.12</v>
      </c>
      <c r="I52" s="93">
        <f>H52*E52</f>
        <v>95.440643999999992</v>
      </c>
      <c r="J52" s="95">
        <f>$A$3</f>
        <v>7.8E-2</v>
      </c>
      <c r="K52" s="93">
        <f>($E52+$G52+$I52)*$J52</f>
        <v>81.888072551999997</v>
      </c>
      <c r="L52" s="95">
        <f>$A$11</f>
        <v>8.5000000000000006E-2</v>
      </c>
      <c r="M52" s="93">
        <f>L52*E52</f>
        <v>67.603789500000005</v>
      </c>
      <c r="N52" s="23">
        <f>E52+G52+I52+K52+M52</f>
        <v>1199.338946052</v>
      </c>
      <c r="O52" s="99"/>
      <c r="P52" s="99"/>
      <c r="Q52" s="99"/>
      <c r="R52" s="8"/>
      <c r="S52" s="8"/>
      <c r="T52" s="8">
        <f>N52</f>
        <v>1199.338946052</v>
      </c>
      <c r="U52" s="8"/>
      <c r="V52" s="99"/>
      <c r="W52" s="8"/>
      <c r="X52" s="99" t="s">
        <v>236</v>
      </c>
      <c r="Y52" s="61">
        <f>SUM(O52:W52)-N52</f>
        <v>0</v>
      </c>
      <c r="Z52" s="110" t="str">
        <f>'CORE  2019'!W44</f>
        <v>y</v>
      </c>
    </row>
    <row r="53" spans="1:26">
      <c r="A53" t="str">
        <f>'CORE  2019'!B45</f>
        <v>131.04.01.06</v>
      </c>
      <c r="B53" t="str">
        <f>'CORE  2019'!C45</f>
        <v>Int Cryogenics labor</v>
      </c>
      <c r="C53" s="110">
        <f>'CORE  2019'!D45</f>
        <v>2</v>
      </c>
      <c r="D53" t="str">
        <f>'CORE  2019'!E45</f>
        <v>assembly work 3 FTE for 6 months</v>
      </c>
      <c r="E53" s="108">
        <f>'CORE  2019'!J45</f>
        <v>194.56632000000002</v>
      </c>
      <c r="F53" s="94">
        <f>$A$6</f>
        <v>0.1</v>
      </c>
      <c r="G53" s="93">
        <f>F53*E53</f>
        <v>19.456632000000003</v>
      </c>
      <c r="H53" s="94">
        <f>$A$9</f>
        <v>0.12</v>
      </c>
      <c r="I53" s="93">
        <f>H53*E53</f>
        <v>23.347958400000003</v>
      </c>
      <c r="J53" s="95">
        <f>$A$5</f>
        <v>1.48</v>
      </c>
      <c r="K53" s="93">
        <f>($E53+$G53+$I53)*$J53</f>
        <v>351.30894739200005</v>
      </c>
      <c r="L53" s="95">
        <v>0</v>
      </c>
      <c r="M53" s="93">
        <f>L53*E53</f>
        <v>0</v>
      </c>
      <c r="N53" s="23">
        <f>E53+G53+I53+K53+M53</f>
        <v>588.67985779200012</v>
      </c>
      <c r="O53" s="99"/>
      <c r="P53" s="99"/>
      <c r="Q53" s="99"/>
      <c r="R53" s="8"/>
      <c r="S53" s="8"/>
      <c r="T53" s="8"/>
      <c r="U53" s="8">
        <f>N53</f>
        <v>588.67985779200012</v>
      </c>
      <c r="V53" s="99"/>
      <c r="W53" s="8"/>
      <c r="X53" s="99" t="s">
        <v>300</v>
      </c>
      <c r="Y53" s="61">
        <f>SUM(O53:W53)-N53</f>
        <v>0</v>
      </c>
      <c r="Z53" s="110" t="str">
        <f>'CORE  2019'!W45</f>
        <v>y</v>
      </c>
    </row>
    <row r="54" spans="1:26">
      <c r="A54" t="s">
        <v>0</v>
      </c>
      <c r="B54" t="s">
        <v>0</v>
      </c>
      <c r="C54" s="110" t="s">
        <v>0</v>
      </c>
      <c r="D54" t="s">
        <v>0</v>
      </c>
      <c r="E54" s="108" t="s">
        <v>0</v>
      </c>
      <c r="G54" s="123"/>
      <c r="J54" s="149"/>
      <c r="K54" s="93" t="s">
        <v>0</v>
      </c>
      <c r="N54" s="23" t="s">
        <v>0</v>
      </c>
      <c r="O54" s="99"/>
      <c r="P54" s="99"/>
      <c r="Q54" s="99"/>
      <c r="R54" s="28"/>
      <c r="S54" s="8"/>
      <c r="T54" s="8"/>
      <c r="U54" s="8"/>
      <c r="V54" s="99"/>
      <c r="W54" s="8"/>
      <c r="X54" s="99"/>
      <c r="Y54" s="8" t="s">
        <v>0</v>
      </c>
      <c r="Z54" s="110" t="str">
        <f>'CORE  2019'!W46</f>
        <v xml:space="preserve"> </v>
      </c>
    </row>
    <row r="55" spans="1:26">
      <c r="A55" s="113" t="s">
        <v>0</v>
      </c>
      <c r="B55" s="113" t="str">
        <f>'CORE  2019'!C47</f>
        <v>DSS</v>
      </c>
      <c r="C55" s="110" t="s">
        <v>0</v>
      </c>
      <c r="D55" s="115">
        <f>SUM(N56:N61)</f>
        <v>7604.3035921840001</v>
      </c>
      <c r="E55" s="108" t="s">
        <v>0</v>
      </c>
      <c r="G55" s="123"/>
      <c r="J55" s="149"/>
      <c r="K55" s="93" t="s">
        <v>0</v>
      </c>
      <c r="N55" s="23" t="s">
        <v>0</v>
      </c>
      <c r="O55" s="99"/>
      <c r="P55" s="99"/>
      <c r="Q55" s="99"/>
      <c r="R55" s="8"/>
      <c r="S55" s="8"/>
      <c r="T55" s="8"/>
      <c r="U55" s="8"/>
      <c r="V55" s="99"/>
      <c r="W55" s="8"/>
      <c r="X55" s="99"/>
      <c r="Y55" s="8" t="s">
        <v>0</v>
      </c>
      <c r="Z55" s="110" t="str">
        <f>'CORE  2019'!W47</f>
        <v xml:space="preserve"> </v>
      </c>
    </row>
    <row r="56" spans="1:26">
      <c r="A56" t="str">
        <f>'CORE  2019'!B48</f>
        <v>131.04.01.06</v>
      </c>
      <c r="B56" t="str">
        <f>'CORE  2019'!C48</f>
        <v>DSS</v>
      </c>
      <c r="C56" s="110">
        <f>'CORE  2019'!D48</f>
        <v>1</v>
      </c>
      <c r="D56" t="str">
        <f>'CORE  2019'!E48</f>
        <v>SS rails</v>
      </c>
      <c r="E56" s="108">
        <f>'CORE  2019'!J48</f>
        <v>152.44320000000002</v>
      </c>
      <c r="F56" s="94">
        <f t="shared" ref="F56:F61" si="19">$A$7</f>
        <v>0.2</v>
      </c>
      <c r="G56" s="93">
        <f t="shared" ref="G56:G61" si="20">F56*E56</f>
        <v>30.488640000000004</v>
      </c>
      <c r="H56" s="94">
        <f t="shared" ref="H56:H61" si="21">$A$9</f>
        <v>0.12</v>
      </c>
      <c r="I56" s="93">
        <f t="shared" ref="I56:I61" si="22">H56*E56</f>
        <v>18.293184</v>
      </c>
      <c r="J56" s="95">
        <f t="shared" ref="J56:J61" si="23">$A$3</f>
        <v>7.8E-2</v>
      </c>
      <c r="K56" s="93">
        <f t="shared" ref="K56:K61" si="24">($E56+$G56+$I56)*$J56</f>
        <v>15.695551872000001</v>
      </c>
      <c r="L56" s="95">
        <f t="shared" ref="L56:L61" si="25">$A$11</f>
        <v>8.5000000000000006E-2</v>
      </c>
      <c r="M56" s="93">
        <f t="shared" ref="M56:M61" si="26">L56*E56</f>
        <v>12.957672000000002</v>
      </c>
      <c r="N56" s="23">
        <f t="shared" ref="N56:N61" si="27">E56+G56+I56+K56+M56</f>
        <v>229.87824787200003</v>
      </c>
      <c r="O56" s="99"/>
      <c r="P56" s="99"/>
      <c r="Q56" s="99">
        <f>N56*0.3</f>
        <v>68.963474361600007</v>
      </c>
      <c r="R56" s="8">
        <f t="shared" ref="R56:R61" si="28">N56*0.3</f>
        <v>68.963474361600007</v>
      </c>
      <c r="S56" s="8">
        <f>N56*0.4</f>
        <v>91.951299148800018</v>
      </c>
      <c r="T56" s="8"/>
      <c r="U56" s="8"/>
      <c r="V56" s="99"/>
      <c r="W56" s="8"/>
      <c r="X56" s="99" t="s">
        <v>236</v>
      </c>
      <c r="Y56" s="61">
        <f t="shared" ref="Y56:Y61" si="29">SUM(O56:W56)-N56</f>
        <v>0</v>
      </c>
      <c r="Z56" s="110" t="str">
        <f>'CORE  2019'!W48</f>
        <v>y</v>
      </c>
    </row>
    <row r="57" spans="1:26">
      <c r="A57" t="str">
        <f>'CORE  2019'!B49</f>
        <v>131.04.01.06</v>
      </c>
      <c r="B57" t="str">
        <f>'CORE  2019'!C49</f>
        <v>DSS</v>
      </c>
      <c r="C57" s="110">
        <f>'CORE  2019'!D49</f>
        <v>1</v>
      </c>
      <c r="D57" t="str">
        <f>'CORE  2019'!E49</f>
        <v>rail supports + feedthroughs</v>
      </c>
      <c r="E57" s="108">
        <f>'CORE  2019'!J49</f>
        <v>1303.3019999999999</v>
      </c>
      <c r="F57" s="94">
        <f t="shared" si="19"/>
        <v>0.2</v>
      </c>
      <c r="G57" s="93">
        <f t="shared" si="20"/>
        <v>260.66039999999998</v>
      </c>
      <c r="H57" s="94">
        <f t="shared" si="21"/>
        <v>0.12</v>
      </c>
      <c r="I57" s="93">
        <f t="shared" si="22"/>
        <v>156.39623999999998</v>
      </c>
      <c r="J57" s="95">
        <f t="shared" si="23"/>
        <v>7.8E-2</v>
      </c>
      <c r="K57" s="93">
        <f t="shared" si="24"/>
        <v>134.18797391999999</v>
      </c>
      <c r="L57" s="95">
        <f t="shared" si="25"/>
        <v>8.5000000000000006E-2</v>
      </c>
      <c r="M57" s="93">
        <f t="shared" si="26"/>
        <v>110.78067</v>
      </c>
      <c r="N57" s="23">
        <f t="shared" si="27"/>
        <v>1965.3272839199999</v>
      </c>
      <c r="O57" s="99"/>
      <c r="P57" s="99"/>
      <c r="Q57" s="99">
        <f>N57*0.3</f>
        <v>589.5981851759999</v>
      </c>
      <c r="R57" s="8">
        <f t="shared" si="28"/>
        <v>589.5981851759999</v>
      </c>
      <c r="S57" s="8">
        <f>N57*0.2</f>
        <v>393.06545678399999</v>
      </c>
      <c r="T57" s="8">
        <f>N57*0.2</f>
        <v>393.06545678399999</v>
      </c>
      <c r="U57" s="8"/>
      <c r="V57" s="99"/>
      <c r="W57" s="8"/>
      <c r="X57" s="99" t="s">
        <v>236</v>
      </c>
      <c r="Y57" s="61">
        <f t="shared" si="29"/>
        <v>0</v>
      </c>
      <c r="Z57" s="110" t="str">
        <f>'CORE  2019'!W49</f>
        <v>y</v>
      </c>
    </row>
    <row r="58" spans="1:26">
      <c r="A58" t="str">
        <f>'CORE  2019'!B50</f>
        <v>131.04.01.06</v>
      </c>
      <c r="B58" t="str">
        <f>'CORE  2019'!C50</f>
        <v>DSS</v>
      </c>
      <c r="C58" s="110">
        <f>'CORE  2019'!D50</f>
        <v>1</v>
      </c>
      <c r="D58" t="str">
        <f>'CORE  2019'!E50</f>
        <v>SS APA,CPA supports to rails and shuttle system</v>
      </c>
      <c r="E58" s="108">
        <f>'CORE  2019'!J50</f>
        <v>438.75</v>
      </c>
      <c r="F58" s="94">
        <f t="shared" si="19"/>
        <v>0.2</v>
      </c>
      <c r="G58" s="93">
        <f t="shared" si="20"/>
        <v>87.75</v>
      </c>
      <c r="H58" s="94">
        <f t="shared" si="21"/>
        <v>0.12</v>
      </c>
      <c r="I58" s="93">
        <f t="shared" si="22"/>
        <v>52.65</v>
      </c>
      <c r="J58" s="95">
        <f t="shared" si="23"/>
        <v>7.8E-2</v>
      </c>
      <c r="K58" s="93">
        <f t="shared" si="24"/>
        <v>45.173699999999997</v>
      </c>
      <c r="L58" s="95">
        <f t="shared" si="25"/>
        <v>8.5000000000000006E-2</v>
      </c>
      <c r="M58" s="93">
        <f t="shared" si="26"/>
        <v>37.293750000000003</v>
      </c>
      <c r="N58" s="23">
        <f t="shared" si="27"/>
        <v>661.61744999999996</v>
      </c>
      <c r="O58" s="99"/>
      <c r="P58" s="99"/>
      <c r="Q58" s="99">
        <f>N58*0.3</f>
        <v>198.48523499999999</v>
      </c>
      <c r="R58" s="8">
        <f t="shared" si="28"/>
        <v>198.48523499999999</v>
      </c>
      <c r="S58" s="8">
        <f>N58*0.4</f>
        <v>264.64697999999999</v>
      </c>
      <c r="T58" s="8"/>
      <c r="U58" s="8"/>
      <c r="V58" s="99"/>
      <c r="W58" s="8"/>
      <c r="X58" s="99" t="s">
        <v>236</v>
      </c>
      <c r="Y58" s="61">
        <f t="shared" si="29"/>
        <v>0</v>
      </c>
      <c r="Z58" s="110" t="str">
        <f>'CORE  2019'!W50</f>
        <v>y</v>
      </c>
    </row>
    <row r="59" spans="1:26">
      <c r="A59" t="str">
        <f>'CORE  2019'!B51</f>
        <v>131.04.01.06</v>
      </c>
      <c r="B59" t="str">
        <f>'CORE  2019'!C51</f>
        <v>DSS</v>
      </c>
      <c r="C59" s="110">
        <f>'CORE  2019'!D51</f>
        <v>1</v>
      </c>
      <c r="D59" t="str">
        <f>'CORE  2019'!E51</f>
        <v>Installation equipment</v>
      </c>
      <c r="E59" s="108">
        <f>'CORE  2019'!J51</f>
        <v>410.40870000000001</v>
      </c>
      <c r="F59" s="94">
        <f t="shared" si="19"/>
        <v>0.2</v>
      </c>
      <c r="G59" s="93">
        <f t="shared" si="20"/>
        <v>82.081740000000011</v>
      </c>
      <c r="H59" s="94">
        <f t="shared" si="21"/>
        <v>0.12</v>
      </c>
      <c r="I59" s="93">
        <f t="shared" si="22"/>
        <v>49.249043999999998</v>
      </c>
      <c r="J59" s="95">
        <f t="shared" si="23"/>
        <v>7.8E-2</v>
      </c>
      <c r="K59" s="93">
        <f t="shared" si="24"/>
        <v>42.255679752000006</v>
      </c>
      <c r="L59" s="95">
        <f t="shared" si="25"/>
        <v>8.5000000000000006E-2</v>
      </c>
      <c r="M59" s="93">
        <f t="shared" si="26"/>
        <v>34.884739500000002</v>
      </c>
      <c r="N59" s="23">
        <f t="shared" si="27"/>
        <v>618.87990325200008</v>
      </c>
      <c r="O59" s="99"/>
      <c r="P59" s="99"/>
      <c r="Q59" s="99">
        <f>N59*0.3</f>
        <v>185.66397097560002</v>
      </c>
      <c r="R59" s="8">
        <f t="shared" si="28"/>
        <v>185.66397097560002</v>
      </c>
      <c r="S59" s="8">
        <f>N59*0.4</f>
        <v>247.55196130080003</v>
      </c>
      <c r="T59" s="8"/>
      <c r="U59" s="8"/>
      <c r="V59" s="99"/>
      <c r="W59" s="8"/>
      <c r="X59" s="99" t="s">
        <v>236</v>
      </c>
      <c r="Y59" s="61">
        <f t="shared" si="29"/>
        <v>0</v>
      </c>
      <c r="Z59" s="110" t="str">
        <f>'CORE  2019'!W51</f>
        <v>y</v>
      </c>
    </row>
    <row r="60" spans="1:26">
      <c r="A60" t="str">
        <f>'CORE  2019'!B52</f>
        <v>131.04.01.06</v>
      </c>
      <c r="B60" t="str">
        <f>'CORE  2019'!C52</f>
        <v>DSS</v>
      </c>
      <c r="C60" s="110">
        <f>'CORE  2019'!D52</f>
        <v>1</v>
      </c>
      <c r="D60" t="str">
        <f>'CORE  2019'!E52</f>
        <v>installation test equipment, QA, and shipping stuff</v>
      </c>
      <c r="E60" s="108">
        <f>'CORE  2019'!J52</f>
        <v>216.48380000000003</v>
      </c>
      <c r="F60" s="94">
        <f t="shared" si="19"/>
        <v>0.2</v>
      </c>
      <c r="G60" s="93">
        <f t="shared" si="20"/>
        <v>43.296760000000006</v>
      </c>
      <c r="H60" s="94">
        <f t="shared" si="21"/>
        <v>0.12</v>
      </c>
      <c r="I60" s="93">
        <f t="shared" si="22"/>
        <v>25.978056000000002</v>
      </c>
      <c r="J60" s="95">
        <f t="shared" si="23"/>
        <v>7.8E-2</v>
      </c>
      <c r="K60" s="93">
        <f t="shared" si="24"/>
        <v>22.289172048000001</v>
      </c>
      <c r="L60" s="95">
        <f t="shared" si="25"/>
        <v>8.5000000000000006E-2</v>
      </c>
      <c r="M60" s="93">
        <f t="shared" si="26"/>
        <v>18.401123000000005</v>
      </c>
      <c r="N60" s="23">
        <f t="shared" si="27"/>
        <v>326.44891104800001</v>
      </c>
      <c r="O60" s="99"/>
      <c r="P60" s="99"/>
      <c r="Q60" s="99">
        <f>N60*0.3</f>
        <v>97.934673314400001</v>
      </c>
      <c r="R60" s="8">
        <f t="shared" si="28"/>
        <v>97.934673314400001</v>
      </c>
      <c r="S60" s="8">
        <f>N60*0.4</f>
        <v>130.57956441920001</v>
      </c>
      <c r="T60" s="8"/>
      <c r="U60" s="8"/>
      <c r="V60" s="99"/>
      <c r="W60" s="8"/>
      <c r="X60" s="99" t="s">
        <v>236</v>
      </c>
      <c r="Y60" s="61">
        <f t="shared" si="29"/>
        <v>0</v>
      </c>
      <c r="Z60" s="110" t="str">
        <f>'CORE  2019'!W52</f>
        <v>y</v>
      </c>
    </row>
    <row r="61" spans="1:26">
      <c r="A61" t="str">
        <f>'CORE  2019'!B53</f>
        <v>131.04.01.06</v>
      </c>
      <c r="B61" t="str">
        <f>'CORE  2019'!C53</f>
        <v>DSS</v>
      </c>
      <c r="C61" s="110">
        <f>'CORE  2019'!D53</f>
        <v>2</v>
      </c>
      <c r="D61" t="str">
        <f>'CORE  2019'!E53</f>
        <v>same as det 1</v>
      </c>
      <c r="E61" s="108">
        <f>'CORE  2019'!J53</f>
        <v>2521.3876999999998</v>
      </c>
      <c r="F61" s="94">
        <f t="shared" si="19"/>
        <v>0.2</v>
      </c>
      <c r="G61" s="93">
        <f t="shared" si="20"/>
        <v>504.27753999999999</v>
      </c>
      <c r="H61" s="94">
        <f t="shared" si="21"/>
        <v>0.12</v>
      </c>
      <c r="I61" s="93">
        <f t="shared" si="22"/>
        <v>302.56652399999996</v>
      </c>
      <c r="J61" s="95">
        <f t="shared" si="23"/>
        <v>7.8E-2</v>
      </c>
      <c r="K61" s="93">
        <f t="shared" si="24"/>
        <v>259.602077592</v>
      </c>
      <c r="L61" s="95">
        <f t="shared" si="25"/>
        <v>8.5000000000000006E-2</v>
      </c>
      <c r="M61" s="93">
        <f t="shared" si="26"/>
        <v>214.31795449999998</v>
      </c>
      <c r="N61" s="23">
        <f t="shared" si="27"/>
        <v>3802.1517960919996</v>
      </c>
      <c r="O61" s="99"/>
      <c r="P61" s="99"/>
      <c r="Q61" s="99"/>
      <c r="R61" s="8">
        <f t="shared" si="28"/>
        <v>1140.6455388275999</v>
      </c>
      <c r="S61" s="8">
        <f>N61*0.3</f>
        <v>1140.6455388275999</v>
      </c>
      <c r="T61" s="8">
        <f>N61*0.2</f>
        <v>760.43035921839999</v>
      </c>
      <c r="U61" s="8">
        <f>N61*0.2</f>
        <v>760.43035921839999</v>
      </c>
      <c r="V61" s="99"/>
      <c r="W61" s="8"/>
      <c r="X61" s="99" t="s">
        <v>236</v>
      </c>
      <c r="Y61" s="61">
        <f t="shared" si="29"/>
        <v>0</v>
      </c>
      <c r="Z61" s="110" t="str">
        <f>'CORE  2019'!W53</f>
        <v>y</v>
      </c>
    </row>
    <row r="62" spans="1:26">
      <c r="A62" t="s">
        <v>0</v>
      </c>
      <c r="B62" t="s">
        <v>0</v>
      </c>
      <c r="C62" s="110" t="s">
        <v>0</v>
      </c>
      <c r="D62" t="s">
        <v>0</v>
      </c>
      <c r="E62" s="108" t="s">
        <v>0</v>
      </c>
      <c r="G62" s="123"/>
      <c r="J62" s="149"/>
      <c r="K62" s="93" t="s">
        <v>0</v>
      </c>
      <c r="N62" s="23" t="s">
        <v>0</v>
      </c>
      <c r="O62" s="99"/>
      <c r="P62" s="99"/>
      <c r="Q62" s="99"/>
      <c r="R62" s="8"/>
      <c r="S62" s="8"/>
      <c r="T62" s="8"/>
      <c r="U62" s="8"/>
      <c r="V62" s="99"/>
      <c r="W62" s="8"/>
      <c r="X62" s="99"/>
      <c r="Y62" s="8" t="s">
        <v>0</v>
      </c>
      <c r="Z62" s="110" t="str">
        <f>'CORE  2019'!W54</f>
        <v xml:space="preserve"> </v>
      </c>
    </row>
    <row r="63" spans="1:26">
      <c r="A63" s="113" t="s">
        <v>0</v>
      </c>
      <c r="B63" s="113" t="str">
        <f>'CORE  2019'!C55</f>
        <v>Cranes</v>
      </c>
      <c r="C63" s="117">
        <f>SUM(N64:N69)</f>
        <v>3194.9751703999991</v>
      </c>
      <c r="E63" s="108" t="s">
        <v>0</v>
      </c>
      <c r="G63" s="123"/>
      <c r="J63" s="149"/>
      <c r="K63" s="93" t="s">
        <v>0</v>
      </c>
      <c r="N63" s="23"/>
      <c r="O63" s="99"/>
      <c r="P63" s="99"/>
      <c r="Q63" s="99"/>
      <c r="R63" s="8"/>
      <c r="S63" s="8"/>
      <c r="T63" s="8"/>
      <c r="U63" s="8"/>
      <c r="V63" s="99"/>
      <c r="W63" s="8"/>
      <c r="X63" s="99"/>
      <c r="Y63" s="8" t="s">
        <v>0</v>
      </c>
      <c r="Z63" s="110" t="str">
        <f>'CORE  2019'!W55</f>
        <v xml:space="preserve"> </v>
      </c>
    </row>
    <row r="64" spans="1:26">
      <c r="A64" t="str">
        <f>'CORE  2019'!B56</f>
        <v>131.04.01.03</v>
      </c>
      <c r="B64" t="str">
        <f>'CORE  2019'!C56</f>
        <v>Cranes</v>
      </c>
      <c r="C64" s="110">
        <f>'CORE  2019'!D56</f>
        <v>1</v>
      </c>
      <c r="D64" t="str">
        <f>'CORE  2019'!E56</f>
        <v>bridge crane</v>
      </c>
      <c r="E64" s="108">
        <f>'CORE  2019'!J56</f>
        <v>370.5</v>
      </c>
      <c r="F64" s="94">
        <f t="shared" ref="F64:F69" si="30">$A$7</f>
        <v>0.2</v>
      </c>
      <c r="G64" s="93">
        <f t="shared" ref="G64:G69" si="31">F64*E64</f>
        <v>74.100000000000009</v>
      </c>
      <c r="H64" s="94">
        <f t="shared" ref="H64:H69" si="32">$A$9</f>
        <v>0.12</v>
      </c>
      <c r="I64" s="93">
        <f t="shared" ref="I64:I69" si="33">H64*E64</f>
        <v>44.46</v>
      </c>
      <c r="J64" s="95">
        <f t="shared" ref="J64:J69" si="34">$A$3</f>
        <v>7.8E-2</v>
      </c>
      <c r="K64" s="93">
        <f t="shared" ref="K64:K69" si="35">($E64+$G64+$I64)*$J64</f>
        <v>38.146680000000003</v>
      </c>
      <c r="L64" s="95">
        <f t="shared" ref="L64:L69" si="36">$A$11</f>
        <v>8.5000000000000006E-2</v>
      </c>
      <c r="M64" s="93">
        <f t="shared" ref="M64:M69" si="37">L64*E64</f>
        <v>31.492500000000003</v>
      </c>
      <c r="N64" s="23">
        <f t="shared" ref="N64:N69" si="38">E64+G64+I64+K64+M64</f>
        <v>558.69917999999996</v>
      </c>
      <c r="O64" s="99"/>
      <c r="P64" s="99">
        <f>N64*0.3</f>
        <v>167.60975399999998</v>
      </c>
      <c r="Q64" s="99">
        <f t="shared" ref="Q64:Q69" si="39">N64*0.3</f>
        <v>167.60975399999998</v>
      </c>
      <c r="R64" s="8">
        <f>N64*0.4</f>
        <v>223.47967199999999</v>
      </c>
      <c r="S64" s="32"/>
      <c r="T64" s="32"/>
      <c r="U64" s="32"/>
      <c r="V64" s="99"/>
      <c r="W64" s="8"/>
      <c r="X64" s="63" t="s">
        <v>231</v>
      </c>
      <c r="Y64" s="61">
        <f t="shared" ref="Y64:Y69" si="40">SUM(O64:W64)-N64</f>
        <v>0</v>
      </c>
      <c r="Z64" s="110" t="str">
        <f>'CORE  2019'!W56</f>
        <v>y</v>
      </c>
    </row>
    <row r="65" spans="1:26">
      <c r="A65" t="str">
        <f>'CORE  2019'!B57</f>
        <v>131.04.01.03</v>
      </c>
      <c r="B65" t="str">
        <f>'CORE  2019'!C57</f>
        <v>Hoists</v>
      </c>
      <c r="C65" s="110">
        <f>'CORE  2019'!D57</f>
        <v>1</v>
      </c>
      <c r="D65" t="str">
        <f>'CORE  2019'!E57</f>
        <v>individual hoists</v>
      </c>
      <c r="E65" s="108">
        <f>'CORE  2019'!J57</f>
        <v>390</v>
      </c>
      <c r="F65" s="94">
        <f t="shared" si="30"/>
        <v>0.2</v>
      </c>
      <c r="G65" s="93">
        <f t="shared" si="31"/>
        <v>78</v>
      </c>
      <c r="H65" s="94">
        <f t="shared" si="32"/>
        <v>0.12</v>
      </c>
      <c r="I65" s="93">
        <f t="shared" si="33"/>
        <v>46.8</v>
      </c>
      <c r="J65" s="95">
        <f t="shared" si="34"/>
        <v>7.8E-2</v>
      </c>
      <c r="K65" s="93">
        <f t="shared" si="35"/>
        <v>40.154399999999995</v>
      </c>
      <c r="L65" s="95">
        <f t="shared" si="36"/>
        <v>8.5000000000000006E-2</v>
      </c>
      <c r="M65" s="93">
        <f t="shared" si="37"/>
        <v>33.150000000000006</v>
      </c>
      <c r="N65" s="23">
        <f t="shared" si="38"/>
        <v>588.10439999999994</v>
      </c>
      <c r="O65" s="99"/>
      <c r="P65" s="99">
        <f>N65*0.3</f>
        <v>176.43131999999997</v>
      </c>
      <c r="Q65" s="99">
        <f t="shared" si="39"/>
        <v>176.43131999999997</v>
      </c>
      <c r="R65" s="8">
        <f>N65*0.4</f>
        <v>235.24176</v>
      </c>
      <c r="S65" s="8"/>
      <c r="T65" s="8"/>
      <c r="U65" s="8"/>
      <c r="V65" s="99"/>
      <c r="W65" s="8"/>
      <c r="X65" s="63" t="s">
        <v>231</v>
      </c>
      <c r="Y65" s="61">
        <f t="shared" si="40"/>
        <v>0</v>
      </c>
      <c r="Z65" s="110" t="str">
        <f>'CORE  2019'!W57</f>
        <v>y</v>
      </c>
    </row>
    <row r="66" spans="1:26">
      <c r="A66" t="str">
        <f>'CORE  2019'!B58</f>
        <v>131.04.01.03</v>
      </c>
      <c r="B66" t="str">
        <f>'CORE  2019'!C58</f>
        <v>Cranes</v>
      </c>
      <c r="C66" s="110">
        <f>'CORE  2019'!D58</f>
        <v>1</v>
      </c>
      <c r="D66" t="str">
        <f>'CORE  2019'!E58</f>
        <v>Power line (150m)</v>
      </c>
      <c r="E66" s="108">
        <f>'CORE  2019'!J58</f>
        <v>59.67</v>
      </c>
      <c r="F66" s="94">
        <f t="shared" si="30"/>
        <v>0.2</v>
      </c>
      <c r="G66" s="93">
        <f t="shared" si="31"/>
        <v>11.934000000000001</v>
      </c>
      <c r="H66" s="94">
        <f t="shared" si="32"/>
        <v>0.12</v>
      </c>
      <c r="I66" s="93">
        <f t="shared" si="33"/>
        <v>7.1604000000000001</v>
      </c>
      <c r="J66" s="95">
        <f t="shared" si="34"/>
        <v>7.8E-2</v>
      </c>
      <c r="K66" s="93">
        <f t="shared" si="35"/>
        <v>6.1436231999999995</v>
      </c>
      <c r="L66" s="95">
        <f t="shared" si="36"/>
        <v>8.5000000000000006E-2</v>
      </c>
      <c r="M66" s="93">
        <f t="shared" si="37"/>
        <v>5.0719500000000002</v>
      </c>
      <c r="N66" s="23">
        <f t="shared" si="38"/>
        <v>89.979973199999989</v>
      </c>
      <c r="O66" s="99"/>
      <c r="P66" s="99">
        <f>N66*0.3</f>
        <v>26.993991959999995</v>
      </c>
      <c r="Q66" s="99">
        <f t="shared" si="39"/>
        <v>26.993991959999995</v>
      </c>
      <c r="R66" s="8">
        <f>N66*0.4</f>
        <v>35.991989279999999</v>
      </c>
      <c r="S66" s="8"/>
      <c r="T66" s="8"/>
      <c r="U66" s="8"/>
      <c r="V66" s="99"/>
      <c r="W66" s="8"/>
      <c r="X66" s="63" t="s">
        <v>231</v>
      </c>
      <c r="Y66" s="61">
        <f t="shared" si="40"/>
        <v>0</v>
      </c>
      <c r="Z66" s="110" t="str">
        <f>'CORE  2019'!W58</f>
        <v>y</v>
      </c>
    </row>
    <row r="67" spans="1:26">
      <c r="A67" t="str">
        <f>'CORE  2019'!B59</f>
        <v>131.04.01.03</v>
      </c>
      <c r="B67" t="str">
        <f>'CORE  2019'!C59</f>
        <v>Cranes</v>
      </c>
      <c r="C67" s="110">
        <f>'CORE  2019'!D59</f>
        <v>1</v>
      </c>
      <c r="D67" t="str">
        <f>'CORE  2019'!E59</f>
        <v xml:space="preserve">Installation of cranes, hoist, power lines and 1rst inspection </v>
      </c>
      <c r="E67" s="108">
        <f>'CORE  2019'!J59</f>
        <v>187.2</v>
      </c>
      <c r="F67" s="94">
        <f t="shared" si="30"/>
        <v>0.2</v>
      </c>
      <c r="G67" s="93">
        <f t="shared" si="31"/>
        <v>37.44</v>
      </c>
      <c r="H67" s="94">
        <f t="shared" si="32"/>
        <v>0.12</v>
      </c>
      <c r="I67" s="93">
        <f t="shared" si="33"/>
        <v>22.463999999999999</v>
      </c>
      <c r="J67" s="95">
        <f t="shared" si="34"/>
        <v>7.8E-2</v>
      </c>
      <c r="K67" s="93">
        <f t="shared" si="35"/>
        <v>19.274111999999999</v>
      </c>
      <c r="L67" s="95">
        <f t="shared" si="36"/>
        <v>8.5000000000000006E-2</v>
      </c>
      <c r="M67" s="93">
        <f t="shared" si="37"/>
        <v>15.912000000000001</v>
      </c>
      <c r="N67" s="23">
        <f t="shared" si="38"/>
        <v>282.29011199999997</v>
      </c>
      <c r="O67" s="99"/>
      <c r="P67" s="99">
        <f>N67*0.3</f>
        <v>84.687033599999992</v>
      </c>
      <c r="Q67" s="99">
        <f t="shared" si="39"/>
        <v>84.687033599999992</v>
      </c>
      <c r="R67" s="8">
        <f>N67*0.4</f>
        <v>112.91604479999999</v>
      </c>
      <c r="S67" s="8"/>
      <c r="T67" s="8"/>
      <c r="U67" s="8"/>
      <c r="V67" s="99"/>
      <c r="W67" s="8"/>
      <c r="X67" s="63" t="s">
        <v>231</v>
      </c>
      <c r="Y67" s="61">
        <f t="shared" si="40"/>
        <v>0</v>
      </c>
      <c r="Z67" s="110" t="str">
        <f>'CORE  2019'!W59</f>
        <v>y</v>
      </c>
    </row>
    <row r="68" spans="1:26">
      <c r="A68" t="str">
        <f>'CORE  2019'!B60</f>
        <v>131.04.01.03</v>
      </c>
      <c r="B68" t="str">
        <f>'CORE  2019'!C60</f>
        <v>Cranes</v>
      </c>
      <c r="C68" s="110">
        <f>'CORE  2019'!D60</f>
        <v>1</v>
      </c>
      <c r="D68" t="str">
        <f>'CORE  2019'!E60</f>
        <v>small material (slings, …)</v>
      </c>
      <c r="E68" s="108">
        <f>'CORE  2019'!J60</f>
        <v>52</v>
      </c>
      <c r="F68" s="94">
        <f t="shared" si="30"/>
        <v>0.2</v>
      </c>
      <c r="G68" s="93">
        <f t="shared" si="31"/>
        <v>10.4</v>
      </c>
      <c r="H68" s="94">
        <f t="shared" si="32"/>
        <v>0.12</v>
      </c>
      <c r="I68" s="93">
        <f t="shared" si="33"/>
        <v>6.24</v>
      </c>
      <c r="J68" s="95">
        <f t="shared" si="34"/>
        <v>7.8E-2</v>
      </c>
      <c r="K68" s="93">
        <f t="shared" si="35"/>
        <v>5.3539200000000005</v>
      </c>
      <c r="L68" s="95">
        <f t="shared" si="36"/>
        <v>8.5000000000000006E-2</v>
      </c>
      <c r="M68" s="93">
        <f t="shared" si="37"/>
        <v>4.42</v>
      </c>
      <c r="N68" s="23">
        <f t="shared" si="38"/>
        <v>78.413920000000005</v>
      </c>
      <c r="O68" s="99"/>
      <c r="P68" s="99">
        <f>N68*0.3</f>
        <v>23.524176000000001</v>
      </c>
      <c r="Q68" s="99">
        <f t="shared" si="39"/>
        <v>23.524176000000001</v>
      </c>
      <c r="R68" s="8">
        <f>N68*0.4</f>
        <v>31.365568000000003</v>
      </c>
      <c r="S68" s="8"/>
      <c r="T68" s="8"/>
      <c r="U68" s="8"/>
      <c r="V68" s="99"/>
      <c r="W68" s="8"/>
      <c r="X68" s="63" t="s">
        <v>231</v>
      </c>
      <c r="Y68" s="61">
        <f t="shared" si="40"/>
        <v>0</v>
      </c>
      <c r="Z68" s="110" t="str">
        <f>'CORE  2019'!W60</f>
        <v>y</v>
      </c>
    </row>
    <row r="69" spans="1:26">
      <c r="A69" t="str">
        <f>'CORE  2019'!B61</f>
        <v>131.04.01.03</v>
      </c>
      <c r="B69" t="str">
        <f>'CORE  2019'!C61</f>
        <v>Cranes</v>
      </c>
      <c r="C69" s="110">
        <f>'CORE  2019'!D61</f>
        <v>2</v>
      </c>
      <c r="D69" t="str">
        <f>'CORE  2019'!E61</f>
        <v>same as det1</v>
      </c>
      <c r="E69" s="108">
        <f>'CORE  2019'!J61</f>
        <v>1059.3699999999999</v>
      </c>
      <c r="F69" s="94">
        <f t="shared" si="30"/>
        <v>0.2</v>
      </c>
      <c r="G69" s="93">
        <f t="shared" si="31"/>
        <v>211.874</v>
      </c>
      <c r="H69" s="94">
        <f t="shared" si="32"/>
        <v>0.12</v>
      </c>
      <c r="I69" s="93">
        <f t="shared" si="33"/>
        <v>127.12439999999998</v>
      </c>
      <c r="J69" s="95">
        <f t="shared" si="34"/>
        <v>7.8E-2</v>
      </c>
      <c r="K69" s="93">
        <f t="shared" si="35"/>
        <v>109.07273519999998</v>
      </c>
      <c r="L69" s="95">
        <f t="shared" si="36"/>
        <v>8.5000000000000006E-2</v>
      </c>
      <c r="M69" s="93">
        <f t="shared" si="37"/>
        <v>90.046449999999993</v>
      </c>
      <c r="N69" s="23">
        <f t="shared" si="38"/>
        <v>1597.4875851999998</v>
      </c>
      <c r="O69" s="99"/>
      <c r="P69" s="99"/>
      <c r="Q69" s="99">
        <f t="shared" si="39"/>
        <v>479.2462755599999</v>
      </c>
      <c r="R69" s="99">
        <f>N69*0.3</f>
        <v>479.2462755599999</v>
      </c>
      <c r="S69" s="8">
        <f>N69*0.4</f>
        <v>638.99503407999998</v>
      </c>
      <c r="T69" s="8"/>
      <c r="U69" s="8"/>
      <c r="V69" s="99"/>
      <c r="W69" s="8"/>
      <c r="X69" s="63" t="s">
        <v>231</v>
      </c>
      <c r="Y69" s="61">
        <f t="shared" si="40"/>
        <v>0</v>
      </c>
      <c r="Z69" s="110" t="str">
        <f>'CORE  2019'!W61</f>
        <v>y</v>
      </c>
    </row>
    <row r="70" spans="1:26">
      <c r="A70" t="s">
        <v>0</v>
      </c>
      <c r="B70" t="s">
        <v>0</v>
      </c>
      <c r="C70" s="110" t="s">
        <v>0</v>
      </c>
      <c r="D70" t="s">
        <v>0</v>
      </c>
      <c r="E70" s="108" t="s">
        <v>0</v>
      </c>
      <c r="G70" s="123"/>
      <c r="J70" s="149"/>
      <c r="K70" s="93" t="s">
        <v>0</v>
      </c>
      <c r="N70" s="23" t="s">
        <v>0</v>
      </c>
      <c r="O70" s="99"/>
      <c r="P70" s="99"/>
      <c r="Q70" s="23"/>
      <c r="R70" s="28"/>
      <c r="S70" s="28"/>
      <c r="T70" s="8"/>
      <c r="U70" s="8"/>
      <c r="V70" s="99"/>
      <c r="W70" s="8"/>
      <c r="X70" s="99"/>
      <c r="Y70" s="8"/>
      <c r="Z70" s="110" t="str">
        <f>'CORE  2019'!W62</f>
        <v xml:space="preserve"> </v>
      </c>
    </row>
    <row r="71" spans="1:26">
      <c r="A71" s="113" t="s">
        <v>0</v>
      </c>
      <c r="B71" s="113" t="str">
        <f>'CORE  2019'!C63</f>
        <v>Mecanical structures</v>
      </c>
      <c r="C71" s="117">
        <f>SUM(N72:N84)</f>
        <v>13192.636270216</v>
      </c>
      <c r="E71" s="108" t="s">
        <v>0</v>
      </c>
      <c r="G71" s="123"/>
      <c r="J71" s="149"/>
      <c r="K71" s="93" t="s">
        <v>0</v>
      </c>
      <c r="N71" s="23" t="s">
        <v>0</v>
      </c>
      <c r="O71" s="99"/>
      <c r="P71" s="99"/>
      <c r="Q71" s="23"/>
      <c r="R71" s="28"/>
      <c r="S71" s="28"/>
      <c r="T71" s="8"/>
      <c r="U71" s="8"/>
      <c r="V71" s="99"/>
      <c r="W71" s="8"/>
      <c r="X71" s="99"/>
      <c r="Y71" s="8"/>
      <c r="Z71" s="110" t="str">
        <f>'CORE  2019'!W63</f>
        <v xml:space="preserve"> </v>
      </c>
    </row>
    <row r="72" spans="1:26">
      <c r="A72" t="str">
        <f>'CORE  2019'!B64</f>
        <v>131.04.01.06</v>
      </c>
      <c r="B72" t="str">
        <f>'CORE  2019'!C64</f>
        <v>Infrastructure</v>
      </c>
      <c r="C72" s="110">
        <f>'CORE  2019'!D64</f>
        <v>1</v>
      </c>
      <c r="D72" t="str">
        <f>'CORE  2019'!E64</f>
        <v>detector mezzanine</v>
      </c>
      <c r="E72" s="108">
        <f>'CORE  2019'!J64</f>
        <v>293.8</v>
      </c>
      <c r="F72" s="94">
        <f t="shared" ref="F72:F84" si="41">$A$7</f>
        <v>0.2</v>
      </c>
      <c r="G72" s="93">
        <f t="shared" ref="G72:G84" si="42">F72*E72</f>
        <v>58.760000000000005</v>
      </c>
      <c r="H72" s="94">
        <f t="shared" ref="H72:H84" si="43">$A$9</f>
        <v>0.12</v>
      </c>
      <c r="I72" s="93">
        <f t="shared" ref="I72:I84" si="44">H72*E72</f>
        <v>35.256</v>
      </c>
      <c r="J72" s="95">
        <f t="shared" ref="J72:J84" si="45">$A$3</f>
        <v>7.8E-2</v>
      </c>
      <c r="K72" s="93">
        <f t="shared" ref="K72:K84" si="46">($E72+$G72+$I72)*$J72</f>
        <v>30.249648000000004</v>
      </c>
      <c r="L72" s="95">
        <f t="shared" ref="L72:L84" si="47">$A$11</f>
        <v>8.5000000000000006E-2</v>
      </c>
      <c r="M72" s="93">
        <f t="shared" ref="M72:M84" si="48">L72*E72</f>
        <v>24.973000000000003</v>
      </c>
      <c r="N72" s="23">
        <f t="shared" ref="N72:N84" si="49">E72+G72+I72+K72+M72</f>
        <v>443.03864800000002</v>
      </c>
      <c r="O72" s="99"/>
      <c r="P72" s="99"/>
      <c r="Q72" s="99">
        <f t="shared" ref="Q72:Q77" si="50">N72*0.3</f>
        <v>132.91159440000001</v>
      </c>
      <c r="R72" s="99">
        <f t="shared" ref="R72:R77" si="51">N72*0.3</f>
        <v>132.91159440000001</v>
      </c>
      <c r="S72" s="8">
        <f t="shared" ref="S72:S77" si="52">N72*0.4</f>
        <v>177.21545920000003</v>
      </c>
      <c r="T72" s="8"/>
      <c r="U72" s="8"/>
      <c r="V72" s="99"/>
      <c r="W72" s="8"/>
      <c r="X72" s="63" t="s">
        <v>231</v>
      </c>
      <c r="Y72" s="61">
        <f t="shared" ref="Y72:Y84" si="53">SUM(O72:W72)-N72</f>
        <v>0</v>
      </c>
      <c r="Z72" s="110" t="str">
        <f>'CORE  2019'!W64</f>
        <v>y</v>
      </c>
    </row>
    <row r="73" spans="1:26">
      <c r="A73" t="str">
        <f>'CORE  2019'!B65</f>
        <v>131.04.01.03</v>
      </c>
      <c r="B73" t="str">
        <f>'CORE  2019'!C65</f>
        <v>Infrastructure</v>
      </c>
      <c r="C73" s="110">
        <f>'CORE  2019'!D65</f>
        <v>1</v>
      </c>
      <c r="D73" t="str">
        <f>'CORE  2019'!E65</f>
        <v>main bridge</v>
      </c>
      <c r="E73" s="108">
        <f>'CORE  2019'!J65</f>
        <v>197.10470000000001</v>
      </c>
      <c r="F73" s="94">
        <f t="shared" si="41"/>
        <v>0.2</v>
      </c>
      <c r="G73" s="93">
        <f t="shared" si="42"/>
        <v>39.420940000000002</v>
      </c>
      <c r="H73" s="94">
        <f t="shared" si="43"/>
        <v>0.12</v>
      </c>
      <c r="I73" s="93">
        <f t="shared" si="44"/>
        <v>23.652564000000002</v>
      </c>
      <c r="J73" s="95">
        <f t="shared" si="45"/>
        <v>7.8E-2</v>
      </c>
      <c r="K73" s="93">
        <f t="shared" si="46"/>
        <v>20.293899912000001</v>
      </c>
      <c r="L73" s="95">
        <f t="shared" si="47"/>
        <v>8.5000000000000006E-2</v>
      </c>
      <c r="M73" s="93">
        <f t="shared" si="48"/>
        <v>16.753899500000003</v>
      </c>
      <c r="N73" s="23">
        <f t="shared" si="49"/>
        <v>297.22600341199995</v>
      </c>
      <c r="O73" s="99"/>
      <c r="P73" s="99"/>
      <c r="Q73" s="99">
        <f t="shared" si="50"/>
        <v>89.167801023599978</v>
      </c>
      <c r="R73" s="99">
        <f t="shared" si="51"/>
        <v>89.167801023599978</v>
      </c>
      <c r="S73" s="8">
        <f t="shared" si="52"/>
        <v>118.89040136479998</v>
      </c>
      <c r="T73" s="8"/>
      <c r="U73" s="8"/>
      <c r="V73" s="99"/>
      <c r="W73" s="8"/>
      <c r="X73" s="63" t="s">
        <v>231</v>
      </c>
      <c r="Y73" s="61">
        <f t="shared" si="53"/>
        <v>0</v>
      </c>
      <c r="Z73" s="110" t="str">
        <f>'CORE  2019'!W65</f>
        <v>y</v>
      </c>
    </row>
    <row r="74" spans="1:26">
      <c r="A74" t="str">
        <f>'CORE  2019'!B66</f>
        <v>131.04.01.03</v>
      </c>
      <c r="B74" t="str">
        <f>'CORE  2019'!C66</f>
        <v>Infrastructure</v>
      </c>
      <c r="C74" s="110">
        <f>'CORE  2019'!D66</f>
        <v>1</v>
      </c>
      <c r="D74" t="str">
        <f>'CORE  2019'!E66</f>
        <v>hand rails</v>
      </c>
      <c r="E74" s="108">
        <f>'CORE  2019'!J66</f>
        <v>18.2</v>
      </c>
      <c r="F74" s="94">
        <f t="shared" si="41"/>
        <v>0.2</v>
      </c>
      <c r="G74" s="93">
        <f t="shared" si="42"/>
        <v>3.64</v>
      </c>
      <c r="H74" s="94">
        <f t="shared" si="43"/>
        <v>0.12</v>
      </c>
      <c r="I74" s="93">
        <f t="shared" si="44"/>
        <v>2.1839999999999997</v>
      </c>
      <c r="J74" s="95">
        <f t="shared" si="45"/>
        <v>7.8E-2</v>
      </c>
      <c r="K74" s="93">
        <f t="shared" si="46"/>
        <v>1.873872</v>
      </c>
      <c r="L74" s="95">
        <f t="shared" si="47"/>
        <v>8.5000000000000006E-2</v>
      </c>
      <c r="M74" s="93">
        <f t="shared" si="48"/>
        <v>1.5470000000000002</v>
      </c>
      <c r="N74" s="23">
        <f t="shared" si="49"/>
        <v>27.444872</v>
      </c>
      <c r="O74" s="99"/>
      <c r="P74" s="99"/>
      <c r="Q74" s="99">
        <f t="shared" si="50"/>
        <v>8.2334616</v>
      </c>
      <c r="R74" s="99">
        <f t="shared" si="51"/>
        <v>8.2334616</v>
      </c>
      <c r="S74" s="8">
        <f t="shared" si="52"/>
        <v>10.9779488</v>
      </c>
      <c r="T74" s="8"/>
      <c r="U74" s="8"/>
      <c r="V74" s="99"/>
      <c r="W74" s="8"/>
      <c r="X74" s="63" t="s">
        <v>231</v>
      </c>
      <c r="Y74" s="61">
        <f t="shared" si="53"/>
        <v>0</v>
      </c>
      <c r="Z74" s="110" t="str">
        <f>'CORE  2019'!W66</f>
        <v>y</v>
      </c>
    </row>
    <row r="75" spans="1:26">
      <c r="A75" t="str">
        <f>'CORE  2019'!B67</f>
        <v>131.04.01.03</v>
      </c>
      <c r="B75" t="str">
        <f>'CORE  2019'!C67</f>
        <v>Infrastructure</v>
      </c>
      <c r="C75" s="110">
        <f>'CORE  2019'!D67</f>
        <v>1</v>
      </c>
      <c r="D75" t="str">
        <f>'CORE  2019'!E67</f>
        <v>connection cryostat-bridge</v>
      </c>
      <c r="E75" s="108">
        <f>'CORE  2019'!J67</f>
        <v>38.5944</v>
      </c>
      <c r="F75" s="94">
        <f t="shared" si="41"/>
        <v>0.2</v>
      </c>
      <c r="G75" s="93">
        <f t="shared" si="42"/>
        <v>7.7188800000000004</v>
      </c>
      <c r="H75" s="94">
        <f t="shared" si="43"/>
        <v>0.12</v>
      </c>
      <c r="I75" s="93">
        <f t="shared" si="44"/>
        <v>4.6313279999999999</v>
      </c>
      <c r="J75" s="95">
        <f t="shared" si="45"/>
        <v>7.8E-2</v>
      </c>
      <c r="K75" s="93">
        <f t="shared" si="46"/>
        <v>3.9736794240000002</v>
      </c>
      <c r="L75" s="95">
        <f t="shared" si="47"/>
        <v>8.5000000000000006E-2</v>
      </c>
      <c r="M75" s="93">
        <f t="shared" si="48"/>
        <v>3.2805240000000002</v>
      </c>
      <c r="N75" s="23">
        <f t="shared" si="49"/>
        <v>58.198811423999999</v>
      </c>
      <c r="O75" s="99"/>
      <c r="P75" s="99"/>
      <c r="Q75" s="99">
        <f t="shared" si="50"/>
        <v>17.4596434272</v>
      </c>
      <c r="R75" s="99">
        <f t="shared" si="51"/>
        <v>17.4596434272</v>
      </c>
      <c r="S75" s="8">
        <f t="shared" si="52"/>
        <v>23.279524569599999</v>
      </c>
      <c r="T75" s="8"/>
      <c r="U75" s="8"/>
      <c r="V75" s="99"/>
      <c r="W75" s="8"/>
      <c r="X75" s="63" t="s">
        <v>231</v>
      </c>
      <c r="Y75" s="61">
        <f t="shared" si="53"/>
        <v>0</v>
      </c>
      <c r="Z75" s="110" t="str">
        <f>'CORE  2019'!W67</f>
        <v>y</v>
      </c>
    </row>
    <row r="76" spans="1:26">
      <c r="A76" t="str">
        <f>'CORE  2019'!B68</f>
        <v>131.04.01.03</v>
      </c>
      <c r="B76" t="str">
        <f>'CORE  2019'!C68</f>
        <v>Infrastructure</v>
      </c>
      <c r="C76" s="110">
        <f>'CORE  2019'!D68</f>
        <v>1</v>
      </c>
      <c r="D76" t="str">
        <f>'CORE  2019'!E68</f>
        <v>stair to 4910</v>
      </c>
      <c r="E76" s="108">
        <f>'CORE  2019'!J68</f>
        <v>61.75</v>
      </c>
      <c r="F76" s="94">
        <f t="shared" si="41"/>
        <v>0.2</v>
      </c>
      <c r="G76" s="93">
        <f t="shared" si="42"/>
        <v>12.350000000000001</v>
      </c>
      <c r="H76" s="94">
        <f t="shared" si="43"/>
        <v>0.12</v>
      </c>
      <c r="I76" s="93">
        <f t="shared" si="44"/>
        <v>7.41</v>
      </c>
      <c r="J76" s="95">
        <f t="shared" si="45"/>
        <v>7.8E-2</v>
      </c>
      <c r="K76" s="93">
        <f t="shared" si="46"/>
        <v>6.3577799999999991</v>
      </c>
      <c r="L76" s="95">
        <f t="shared" si="47"/>
        <v>8.5000000000000006E-2</v>
      </c>
      <c r="M76" s="93">
        <f t="shared" si="48"/>
        <v>5.2487500000000002</v>
      </c>
      <c r="N76" s="23">
        <f t="shared" si="49"/>
        <v>93.116529999999997</v>
      </c>
      <c r="O76" s="99"/>
      <c r="P76" s="99"/>
      <c r="Q76" s="99">
        <f t="shared" si="50"/>
        <v>27.934958999999999</v>
      </c>
      <c r="R76" s="99">
        <f t="shared" si="51"/>
        <v>27.934958999999999</v>
      </c>
      <c r="S76" s="8">
        <f t="shared" si="52"/>
        <v>37.246611999999999</v>
      </c>
      <c r="T76" s="8"/>
      <c r="U76" s="8"/>
      <c r="V76" s="99"/>
      <c r="W76" s="8"/>
      <c r="X76" s="63" t="s">
        <v>231</v>
      </c>
      <c r="Y76" s="61">
        <f t="shared" si="53"/>
        <v>0</v>
      </c>
      <c r="Z76" s="110" t="str">
        <f>'CORE  2019'!W68</f>
        <v>y</v>
      </c>
    </row>
    <row r="77" spans="1:26">
      <c r="A77" t="str">
        <f>'CORE  2019'!B69</f>
        <v>131.04.01.03</v>
      </c>
      <c r="B77" t="str">
        <f>'CORE  2019'!C69</f>
        <v>Infrastructure</v>
      </c>
      <c r="C77" s="110">
        <f>'CORE  2019'!D69</f>
        <v>1</v>
      </c>
      <c r="D77" t="str">
        <f>'CORE  2019'!E69</f>
        <v>stairs to mezzanines</v>
      </c>
      <c r="E77" s="108">
        <f>'CORE  2019'!J69</f>
        <v>18.2</v>
      </c>
      <c r="F77" s="94">
        <f t="shared" si="41"/>
        <v>0.2</v>
      </c>
      <c r="G77" s="93">
        <f t="shared" si="42"/>
        <v>3.64</v>
      </c>
      <c r="H77" s="94">
        <f t="shared" si="43"/>
        <v>0.12</v>
      </c>
      <c r="I77" s="93">
        <f t="shared" si="44"/>
        <v>2.1839999999999997</v>
      </c>
      <c r="J77" s="95">
        <f t="shared" si="45"/>
        <v>7.8E-2</v>
      </c>
      <c r="K77" s="93">
        <f t="shared" si="46"/>
        <v>1.873872</v>
      </c>
      <c r="L77" s="95">
        <f t="shared" si="47"/>
        <v>8.5000000000000006E-2</v>
      </c>
      <c r="M77" s="93">
        <f t="shared" si="48"/>
        <v>1.5470000000000002</v>
      </c>
      <c r="N77" s="23">
        <f t="shared" si="49"/>
        <v>27.444872</v>
      </c>
      <c r="O77" s="99"/>
      <c r="P77" s="99"/>
      <c r="Q77" s="99">
        <f t="shared" si="50"/>
        <v>8.2334616</v>
      </c>
      <c r="R77" s="99">
        <f t="shared" si="51"/>
        <v>8.2334616</v>
      </c>
      <c r="S77" s="8">
        <f t="shared" si="52"/>
        <v>10.9779488</v>
      </c>
      <c r="T77" s="8"/>
      <c r="U77" s="8"/>
      <c r="V77" s="99"/>
      <c r="W77" s="8"/>
      <c r="X77" s="63" t="s">
        <v>231</v>
      </c>
      <c r="Y77" s="61">
        <f t="shared" si="53"/>
        <v>0</v>
      </c>
      <c r="Z77" s="110" t="str">
        <f>'CORE  2019'!W69</f>
        <v>y</v>
      </c>
    </row>
    <row r="78" spans="1:26">
      <c r="A78" t="str">
        <f>'CORE  2019'!B70</f>
        <v>131.04.01.03</v>
      </c>
      <c r="B78" t="str">
        <f>'CORE  2019'!C70</f>
        <v>Infrastructure</v>
      </c>
      <c r="C78" s="110">
        <f>'CORE  2019'!D70</f>
        <v>1</v>
      </c>
      <c r="D78" t="str">
        <f>'CORE  2019'!E70</f>
        <v>Unforeseen facility modifications</v>
      </c>
      <c r="E78" s="108">
        <f>'CORE  2019'!J70</f>
        <v>260</v>
      </c>
      <c r="F78" s="94">
        <f t="shared" si="41"/>
        <v>0.2</v>
      </c>
      <c r="G78" s="93">
        <f t="shared" si="42"/>
        <v>52</v>
      </c>
      <c r="H78" s="94">
        <f t="shared" si="43"/>
        <v>0.12</v>
      </c>
      <c r="I78" s="93">
        <f t="shared" si="44"/>
        <v>31.2</v>
      </c>
      <c r="J78" s="95">
        <f t="shared" si="45"/>
        <v>7.8E-2</v>
      </c>
      <c r="K78" s="93">
        <f t="shared" si="46"/>
        <v>26.769600000000001</v>
      </c>
      <c r="L78" s="95">
        <f t="shared" si="47"/>
        <v>8.5000000000000006E-2</v>
      </c>
      <c r="M78" s="93">
        <f t="shared" si="48"/>
        <v>22.1</v>
      </c>
      <c r="N78" s="23">
        <f t="shared" si="49"/>
        <v>392.06960000000004</v>
      </c>
      <c r="O78" s="99"/>
      <c r="P78" s="99"/>
      <c r="Q78" s="99">
        <f>N78*0.25</f>
        <v>98.017400000000009</v>
      </c>
      <c r="R78" s="8">
        <f>N78*0.25</f>
        <v>98.017400000000009</v>
      </c>
      <c r="S78" s="8">
        <f>N78*0.25</f>
        <v>98.017400000000009</v>
      </c>
      <c r="T78" s="8">
        <f>N78*0.25</f>
        <v>98.017400000000009</v>
      </c>
      <c r="U78" s="8"/>
      <c r="V78" s="99"/>
      <c r="W78" s="8"/>
      <c r="X78" s="63" t="s">
        <v>231</v>
      </c>
      <c r="Y78" s="61">
        <f t="shared" si="53"/>
        <v>0</v>
      </c>
      <c r="Z78" s="110" t="str">
        <f>'CORE  2019'!W70</f>
        <v>y</v>
      </c>
    </row>
    <row r="79" spans="1:26">
      <c r="A79" t="str">
        <f>'CORE  2019'!B71</f>
        <v>131.04.01.03</v>
      </c>
      <c r="B79" t="str">
        <f>'CORE  2019'!C71</f>
        <v>Infrastructure</v>
      </c>
      <c r="C79" s="110">
        <f>'CORE  2019'!D71</f>
        <v>1</v>
      </c>
      <c r="D79" t="str">
        <f>'CORE  2019'!E71</f>
        <v>licence engineering services</v>
      </c>
      <c r="E79" s="108">
        <f>'CORE  2019'!J71</f>
        <v>234</v>
      </c>
      <c r="F79" s="94">
        <f t="shared" si="41"/>
        <v>0.2</v>
      </c>
      <c r="G79" s="93">
        <f t="shared" si="42"/>
        <v>46.800000000000004</v>
      </c>
      <c r="H79" s="94">
        <f t="shared" si="43"/>
        <v>0.12</v>
      </c>
      <c r="I79" s="93">
        <f t="shared" si="44"/>
        <v>28.08</v>
      </c>
      <c r="J79" s="95">
        <f t="shared" si="45"/>
        <v>7.8E-2</v>
      </c>
      <c r="K79" s="93">
        <f t="shared" si="46"/>
        <v>24.092639999999999</v>
      </c>
      <c r="L79" s="95">
        <f t="shared" si="47"/>
        <v>8.5000000000000006E-2</v>
      </c>
      <c r="M79" s="93">
        <f t="shared" si="48"/>
        <v>19.89</v>
      </c>
      <c r="N79" s="23">
        <f t="shared" si="49"/>
        <v>352.86264</v>
      </c>
      <c r="O79" s="99"/>
      <c r="P79" s="99"/>
      <c r="Q79" s="99">
        <f>N79*0.25</f>
        <v>88.21566</v>
      </c>
      <c r="R79" s="8">
        <f>N79*0.25</f>
        <v>88.21566</v>
      </c>
      <c r="S79" s="8">
        <f>N79*0.25</f>
        <v>88.21566</v>
      </c>
      <c r="T79" s="8">
        <f>N79*0.25</f>
        <v>88.21566</v>
      </c>
      <c r="U79" s="8"/>
      <c r="V79" s="99"/>
      <c r="W79" s="8"/>
      <c r="X79" s="63" t="s">
        <v>231</v>
      </c>
      <c r="Y79" s="61">
        <f t="shared" si="53"/>
        <v>0</v>
      </c>
      <c r="Z79" s="110" t="str">
        <f>'CORE  2019'!W71</f>
        <v>y</v>
      </c>
    </row>
    <row r="80" spans="1:26" s="145" customFormat="1">
      <c r="A80" s="145" t="str">
        <f>'CORE  2019'!B72</f>
        <v>131.04.01.03</v>
      </c>
      <c r="B80" s="145" t="str">
        <f>'CORE  2019'!C72</f>
        <v>Infrastructure</v>
      </c>
      <c r="C80" s="110">
        <f>'CORE  2019'!D72</f>
        <v>1</v>
      </c>
      <c r="D80" s="145" t="str">
        <f>'CORE  2019'!E72</f>
        <v>Compensation for lost of time to work</v>
      </c>
      <c r="E80" s="108">
        <f>'CORE  2019'!$J$72</f>
        <v>2392</v>
      </c>
      <c r="F80" s="94">
        <f t="shared" si="41"/>
        <v>0.2</v>
      </c>
      <c r="G80" s="93">
        <f t="shared" ref="G80" si="54">F80*E80</f>
        <v>478.40000000000003</v>
      </c>
      <c r="H80" s="94">
        <f t="shared" si="43"/>
        <v>0.12</v>
      </c>
      <c r="I80" s="93">
        <f t="shared" ref="I80" si="55">H80*E80</f>
        <v>287.03999999999996</v>
      </c>
      <c r="J80" s="95">
        <f t="shared" si="45"/>
        <v>7.8E-2</v>
      </c>
      <c r="K80" s="93">
        <f t="shared" si="46"/>
        <v>246.28032000000002</v>
      </c>
      <c r="L80" s="95">
        <f t="shared" si="47"/>
        <v>8.5000000000000006E-2</v>
      </c>
      <c r="M80" s="93">
        <f t="shared" ref="M80" si="56">L80*E80</f>
        <v>203.32000000000002</v>
      </c>
      <c r="N80" s="23">
        <f t="shared" ref="N80" si="57">E80+G80+I80+K80+M80</f>
        <v>3607.0403200000001</v>
      </c>
      <c r="O80" s="146"/>
      <c r="P80" s="52">
        <f t="shared" ref="P80:W80" si="58">$N80/8</f>
        <v>450.88004000000001</v>
      </c>
      <c r="Q80" s="52">
        <f t="shared" si="58"/>
        <v>450.88004000000001</v>
      </c>
      <c r="R80" s="52">
        <f t="shared" si="58"/>
        <v>450.88004000000001</v>
      </c>
      <c r="S80" s="52">
        <f t="shared" si="58"/>
        <v>450.88004000000001</v>
      </c>
      <c r="T80" s="52">
        <f t="shared" si="58"/>
        <v>450.88004000000001</v>
      </c>
      <c r="U80" s="52">
        <f t="shared" si="58"/>
        <v>450.88004000000001</v>
      </c>
      <c r="V80" s="52">
        <f t="shared" si="58"/>
        <v>450.88004000000001</v>
      </c>
      <c r="W80" s="52">
        <f t="shared" si="58"/>
        <v>450.88004000000001</v>
      </c>
      <c r="X80" s="63" t="s">
        <v>231</v>
      </c>
      <c r="Y80" s="61">
        <f t="shared" si="53"/>
        <v>0</v>
      </c>
      <c r="Z80" s="110" t="str">
        <f>'CORE  2019'!W72</f>
        <v>y</v>
      </c>
    </row>
    <row r="81" spans="1:26" s="145" customFormat="1">
      <c r="A81" s="145" t="str">
        <f>'CORE  2019'!B73</f>
        <v>131.04.01.03</v>
      </c>
      <c r="B81" s="145" t="str">
        <f>'CORE  2019'!C73</f>
        <v>Infrastructure</v>
      </c>
      <c r="C81" s="110">
        <f>'CORE  2019'!D73</f>
        <v>1</v>
      </c>
      <c r="D81" s="145" t="str">
        <f>'CORE  2019'!E73</f>
        <v>Alimak procurement</v>
      </c>
      <c r="E81" s="108">
        <f>'CORE  2019'!J73</f>
        <v>486.28320000000002</v>
      </c>
      <c r="F81" s="94">
        <f t="shared" si="41"/>
        <v>0.2</v>
      </c>
      <c r="G81" s="93">
        <f t="shared" ref="G81" si="59">F81*E81</f>
        <v>97.256640000000004</v>
      </c>
      <c r="H81" s="94">
        <f t="shared" si="43"/>
        <v>0.12</v>
      </c>
      <c r="I81" s="93">
        <f t="shared" ref="I81" si="60">H81*E81</f>
        <v>58.353983999999997</v>
      </c>
      <c r="J81" s="95">
        <f t="shared" si="45"/>
        <v>7.8E-2</v>
      </c>
      <c r="K81" s="93">
        <f t="shared" si="46"/>
        <v>50.067718272</v>
      </c>
      <c r="L81" s="95">
        <f t="shared" si="47"/>
        <v>8.5000000000000006E-2</v>
      </c>
      <c r="M81" s="93">
        <f t="shared" ref="M81" si="61">L81*E81</f>
        <v>41.334072000000006</v>
      </c>
      <c r="N81" s="23">
        <f t="shared" ref="N81" si="62">E81+G81+I81+K81+M81</f>
        <v>733.29561427199997</v>
      </c>
      <c r="O81" s="146"/>
      <c r="P81" s="146"/>
      <c r="Q81" s="146">
        <f>N81*0.25</f>
        <v>183.32390356799999</v>
      </c>
      <c r="R81" s="8">
        <f>N81*0.25</f>
        <v>183.32390356799999</v>
      </c>
      <c r="S81" s="8">
        <f>N81*0.25</f>
        <v>183.32390356799999</v>
      </c>
      <c r="T81" s="8">
        <f>N81*0.25</f>
        <v>183.32390356799999</v>
      </c>
      <c r="U81" s="8"/>
      <c r="V81" s="146"/>
      <c r="W81" s="8"/>
      <c r="X81" s="63" t="s">
        <v>231</v>
      </c>
      <c r="Y81" s="61">
        <f t="shared" ref="Y81" si="63">SUM(O81:W81)-N81</f>
        <v>0</v>
      </c>
      <c r="Z81" s="110" t="str">
        <f>'CORE  2019'!W73</f>
        <v>y</v>
      </c>
    </row>
    <row r="82" spans="1:26">
      <c r="A82" s="144" t="str">
        <f>'CORE  2019'!B74</f>
        <v>131.04.01.03</v>
      </c>
      <c r="B82" s="144" t="str">
        <f>'CORE  2019'!C74</f>
        <v>Infrastructure</v>
      </c>
      <c r="C82" s="3">
        <f>'CORE  2019'!D74</f>
        <v>1</v>
      </c>
      <c r="D82" s="144" t="str">
        <f>'CORE  2019'!E74</f>
        <v>Condensation prevention system</v>
      </c>
      <c r="E82" s="108">
        <f>'CORE  2019'!$J$74</f>
        <v>224.9</v>
      </c>
      <c r="F82" s="94">
        <f t="shared" si="41"/>
        <v>0.2</v>
      </c>
      <c r="G82" s="93">
        <f t="shared" si="42"/>
        <v>44.980000000000004</v>
      </c>
      <c r="H82" s="94">
        <f t="shared" si="43"/>
        <v>0.12</v>
      </c>
      <c r="I82" s="93">
        <f t="shared" si="44"/>
        <v>26.988</v>
      </c>
      <c r="J82" s="95">
        <f t="shared" si="45"/>
        <v>7.8E-2</v>
      </c>
      <c r="K82" s="93">
        <f t="shared" si="46"/>
        <v>23.155704</v>
      </c>
      <c r="L82" s="95">
        <f t="shared" si="47"/>
        <v>8.5000000000000006E-2</v>
      </c>
      <c r="M82" s="93">
        <f t="shared" si="48"/>
        <v>19.116500000000002</v>
      </c>
      <c r="N82" s="23">
        <f t="shared" si="49"/>
        <v>339.14020400000004</v>
      </c>
      <c r="O82" s="99"/>
      <c r="P82" s="99"/>
      <c r="Q82" s="99">
        <f>N82*0.3</f>
        <v>101.74206120000001</v>
      </c>
      <c r="R82" s="99">
        <f>N82*0.3</f>
        <v>101.74206120000001</v>
      </c>
      <c r="S82" s="8">
        <f>N82*0.4</f>
        <v>135.65608160000002</v>
      </c>
      <c r="T82" s="8"/>
      <c r="U82" s="8"/>
      <c r="V82" s="99"/>
      <c r="W82" s="8"/>
      <c r="X82" s="63" t="s">
        <v>231</v>
      </c>
      <c r="Y82" s="61">
        <f t="shared" si="53"/>
        <v>0</v>
      </c>
      <c r="Z82" s="110" t="str">
        <f>'CORE  2019'!W74</f>
        <v>y</v>
      </c>
    </row>
    <row r="83" spans="1:26" s="145" customFormat="1">
      <c r="A83" s="5" t="str">
        <f>'CORE  2019'!B75</f>
        <v>131.04.01.03</v>
      </c>
      <c r="B83" s="144" t="str">
        <f>'CORE  2019'!C75</f>
        <v>Infrastructure</v>
      </c>
      <c r="C83" s="3">
        <f>'CORE  2019'!D75</f>
        <v>1</v>
      </c>
      <c r="D83" s="5" t="str">
        <f>'CORE  2019'!E75</f>
        <v>Grouting below cryostat</v>
      </c>
      <c r="E83" s="108">
        <f>'CORE  2019'!$J$75</f>
        <v>149.5</v>
      </c>
      <c r="F83" s="94">
        <f t="shared" si="41"/>
        <v>0.2</v>
      </c>
      <c r="G83" s="93">
        <f t="shared" ref="G83" si="64">F83*E83</f>
        <v>29.900000000000002</v>
      </c>
      <c r="H83" s="94">
        <f t="shared" si="43"/>
        <v>0.12</v>
      </c>
      <c r="I83" s="93">
        <f t="shared" ref="I83" si="65">H83*E83</f>
        <v>17.939999999999998</v>
      </c>
      <c r="J83" s="95">
        <f t="shared" si="45"/>
        <v>7.8E-2</v>
      </c>
      <c r="K83" s="93">
        <f t="shared" si="46"/>
        <v>15.392520000000001</v>
      </c>
      <c r="L83" s="95">
        <f t="shared" si="47"/>
        <v>8.5000000000000006E-2</v>
      </c>
      <c r="M83" s="93">
        <f t="shared" ref="M83" si="66">L83*E83</f>
        <v>12.707500000000001</v>
      </c>
      <c r="N83" s="23">
        <f t="shared" ref="N83" si="67">E83+G83+I83+K83+M83</f>
        <v>225.44002</v>
      </c>
      <c r="O83" s="146"/>
      <c r="P83" s="146"/>
      <c r="Q83" s="146">
        <f>N83*0.3</f>
        <v>67.632006000000004</v>
      </c>
      <c r="R83" s="146">
        <f>N83*0.3</f>
        <v>67.632006000000004</v>
      </c>
      <c r="S83" s="8">
        <f>N83*0.4</f>
        <v>90.17600800000001</v>
      </c>
      <c r="T83" s="8"/>
      <c r="U83" s="8"/>
      <c r="V83" s="146"/>
      <c r="W83" s="8"/>
      <c r="X83" s="63" t="s">
        <v>231</v>
      </c>
      <c r="Y83" s="61">
        <f t="shared" ref="Y83" si="68">SUM(O83:W83)-N83</f>
        <v>0</v>
      </c>
      <c r="Z83" s="110" t="str">
        <f>'CORE  2019'!W75</f>
        <v>y</v>
      </c>
    </row>
    <row r="84" spans="1:26">
      <c r="A84" t="str">
        <f>'CORE  2019'!B76</f>
        <v>131.04.01.03</v>
      </c>
      <c r="B84" t="str">
        <f>'CORE  2019'!C76</f>
        <v>Infrastructure</v>
      </c>
      <c r="C84" s="110">
        <f>'CORE  2019'!D76</f>
        <v>2</v>
      </c>
      <c r="D84" t="str">
        <f>'CORE  2019'!E76</f>
        <v>same as det1</v>
      </c>
      <c r="E84" s="108">
        <f>'CORE  2019'!J76</f>
        <v>4374.3323</v>
      </c>
      <c r="F84" s="94">
        <f t="shared" si="41"/>
        <v>0.2</v>
      </c>
      <c r="G84" s="93">
        <f t="shared" si="42"/>
        <v>874.86646000000007</v>
      </c>
      <c r="H84" s="94">
        <f t="shared" si="43"/>
        <v>0.12</v>
      </c>
      <c r="I84" s="93">
        <f t="shared" si="44"/>
        <v>524.91987599999993</v>
      </c>
      <c r="J84" s="95">
        <f t="shared" si="45"/>
        <v>7.8E-2</v>
      </c>
      <c r="K84" s="93">
        <f t="shared" si="46"/>
        <v>450.38125360800001</v>
      </c>
      <c r="L84" s="95">
        <f t="shared" si="47"/>
        <v>8.5000000000000006E-2</v>
      </c>
      <c r="M84" s="93">
        <f t="shared" si="48"/>
        <v>371.81824550000005</v>
      </c>
      <c r="N84" s="23">
        <f t="shared" si="49"/>
        <v>6596.3181351080002</v>
      </c>
      <c r="O84" s="99"/>
      <c r="P84" s="99"/>
      <c r="Q84" s="99"/>
      <c r="R84" s="8"/>
      <c r="S84" s="8"/>
      <c r="T84" s="8">
        <f>N84*0.4</f>
        <v>2638.5272540432002</v>
      </c>
      <c r="U84" s="8">
        <f>N84*0.3</f>
        <v>1978.8954405324</v>
      </c>
      <c r="V84" s="99">
        <f>N84*0.3</f>
        <v>1978.8954405324</v>
      </c>
      <c r="W84" s="8"/>
      <c r="X84" s="63" t="s">
        <v>231</v>
      </c>
      <c r="Y84" s="61">
        <f t="shared" si="53"/>
        <v>0</v>
      </c>
      <c r="Z84" s="110" t="str">
        <f>'CORE  2019'!W76</f>
        <v>y</v>
      </c>
    </row>
    <row r="85" spans="1:26">
      <c r="A85" t="s">
        <v>0</v>
      </c>
      <c r="B85" t="s">
        <v>0</v>
      </c>
      <c r="C85" s="110" t="s">
        <v>0</v>
      </c>
      <c r="D85" t="s">
        <v>0</v>
      </c>
      <c r="E85" s="108" t="s">
        <v>0</v>
      </c>
      <c r="G85" s="123"/>
      <c r="J85" s="149"/>
      <c r="K85" s="93" t="s">
        <v>0</v>
      </c>
      <c r="N85" s="23" t="s">
        <v>0</v>
      </c>
      <c r="O85" s="99"/>
      <c r="P85" s="99"/>
      <c r="Q85" s="99"/>
      <c r="R85" s="8"/>
      <c r="S85" s="8"/>
      <c r="T85" s="8"/>
      <c r="U85" s="8"/>
      <c r="V85" s="99"/>
      <c r="W85" s="8"/>
      <c r="X85" s="99"/>
      <c r="Y85" s="8"/>
      <c r="Z85" s="110" t="str">
        <f>'CORE  2019'!W77</f>
        <v xml:space="preserve"> </v>
      </c>
    </row>
    <row r="86" spans="1:26">
      <c r="A86" s="113" t="s">
        <v>0</v>
      </c>
      <c r="B86" s="113" t="str">
        <f>'CORE  2019'!C78</f>
        <v>Control Rooms</v>
      </c>
      <c r="C86" s="117">
        <f>N95+N96</f>
        <v>325.71935999999999</v>
      </c>
      <c r="D86" s="116">
        <f>SUM(N87:N94)</f>
        <v>805.33131586000002</v>
      </c>
      <c r="E86" s="108" t="s">
        <v>0</v>
      </c>
      <c r="G86" s="123"/>
      <c r="J86" s="149"/>
      <c r="K86" s="93" t="s">
        <v>0</v>
      </c>
      <c r="N86" s="23" t="s">
        <v>0</v>
      </c>
      <c r="O86" s="99" t="s">
        <v>0</v>
      </c>
      <c r="P86" s="99"/>
      <c r="Q86" s="99"/>
      <c r="R86" s="8"/>
      <c r="S86" s="8"/>
      <c r="T86" s="8"/>
      <c r="U86" s="8"/>
      <c r="V86" s="99"/>
      <c r="W86" s="8"/>
      <c r="X86" s="99"/>
      <c r="Y86" s="8"/>
      <c r="Z86" s="110" t="str">
        <f>'CORE  2019'!W78</f>
        <v xml:space="preserve"> </v>
      </c>
    </row>
    <row r="87" spans="1:26">
      <c r="A87" t="str">
        <f>'CORE  2019'!B79</f>
        <v>131.04.01.03</v>
      </c>
      <c r="B87" t="str">
        <f>'CORE  2019'!C79</f>
        <v>Control Rooms</v>
      </c>
      <c r="C87" s="110" t="str">
        <f>'CORE  2019'!D79</f>
        <v>N/A</v>
      </c>
      <c r="D87" t="str">
        <f>'CORE  2019'!E79</f>
        <v>screens in cntrl</v>
      </c>
      <c r="E87" s="108">
        <f>'CORE  2019'!J79</f>
        <v>19.239999999999998</v>
      </c>
      <c r="F87" s="94">
        <f t="shared" ref="F87:F96" si="69">$A$7</f>
        <v>0.2</v>
      </c>
      <c r="G87" s="93">
        <f t="shared" ref="G87:G96" si="70">F87*E87</f>
        <v>3.8479999999999999</v>
      </c>
      <c r="H87" s="94">
        <f t="shared" ref="H87:H96" si="71">$A$9</f>
        <v>0.12</v>
      </c>
      <c r="I87" s="93">
        <f t="shared" ref="I87:I96" si="72">H87*E87</f>
        <v>2.3087999999999997</v>
      </c>
      <c r="J87" s="95">
        <f t="shared" ref="J87:J96" si="73">$A$3</f>
        <v>7.8E-2</v>
      </c>
      <c r="K87" s="93">
        <f t="shared" ref="K87:K96" si="74">($E87+$G87+$I87)*$J87</f>
        <v>1.9809504</v>
      </c>
      <c r="L87" s="95">
        <f t="shared" ref="L87:L96" si="75">$A$11</f>
        <v>8.5000000000000006E-2</v>
      </c>
      <c r="M87" s="93">
        <f t="shared" ref="M87:M96" si="76">L87*E87</f>
        <v>1.6354</v>
      </c>
      <c r="N87" s="23">
        <f t="shared" ref="N87:N96" si="77">E87+G87+I87+K87+M87</f>
        <v>29.013150400000001</v>
      </c>
      <c r="O87" s="99"/>
      <c r="P87" s="99"/>
      <c r="Q87" s="99"/>
      <c r="R87" s="8"/>
      <c r="S87" s="8"/>
      <c r="T87" s="8">
        <f t="shared" ref="T87:U92" si="78">$N87/2</f>
        <v>14.5065752</v>
      </c>
      <c r="U87" s="8">
        <f t="shared" si="78"/>
        <v>14.5065752</v>
      </c>
      <c r="V87" s="99"/>
      <c r="W87" s="8"/>
      <c r="X87" s="99" t="s">
        <v>236</v>
      </c>
      <c r="Y87" s="61">
        <f t="shared" ref="Y87:Y96" si="79">SUM(O87:W87)-N87</f>
        <v>0</v>
      </c>
      <c r="Z87" s="110" t="str">
        <f>'CORE  2019'!W79</f>
        <v>y</v>
      </c>
    </row>
    <row r="88" spans="1:26">
      <c r="A88" t="str">
        <f>'CORE  2019'!B80</f>
        <v>131.04.01.03</v>
      </c>
      <c r="B88" t="str">
        <f>'CORE  2019'!C80</f>
        <v>Control Rooms</v>
      </c>
      <c r="C88" s="110" t="str">
        <f>'CORE  2019'!D80</f>
        <v>N/A</v>
      </c>
      <c r="D88" t="str">
        <f>'CORE  2019'!E80</f>
        <v>computers in cntrl</v>
      </c>
      <c r="E88" s="108">
        <f>'CORE  2019'!J80</f>
        <v>52.357500000000002</v>
      </c>
      <c r="F88" s="94">
        <f t="shared" si="69"/>
        <v>0.2</v>
      </c>
      <c r="G88" s="93">
        <f t="shared" si="70"/>
        <v>10.471500000000001</v>
      </c>
      <c r="H88" s="94">
        <f t="shared" si="71"/>
        <v>0.12</v>
      </c>
      <c r="I88" s="93">
        <f t="shared" si="72"/>
        <v>6.2828999999999997</v>
      </c>
      <c r="J88" s="95">
        <f t="shared" si="73"/>
        <v>7.8E-2</v>
      </c>
      <c r="K88" s="93">
        <f t="shared" si="74"/>
        <v>5.3907282000000007</v>
      </c>
      <c r="L88" s="95">
        <f t="shared" si="75"/>
        <v>8.5000000000000006E-2</v>
      </c>
      <c r="M88" s="93">
        <f t="shared" si="76"/>
        <v>4.4503875000000006</v>
      </c>
      <c r="N88" s="23">
        <f t="shared" si="77"/>
        <v>78.953015700000009</v>
      </c>
      <c r="O88" s="99"/>
      <c r="P88" s="99"/>
      <c r="Q88" s="99"/>
      <c r="R88" s="8"/>
      <c r="S88" s="8"/>
      <c r="T88" s="8">
        <f t="shared" si="78"/>
        <v>39.476507850000004</v>
      </c>
      <c r="U88" s="8">
        <f t="shared" si="78"/>
        <v>39.476507850000004</v>
      </c>
      <c r="V88" s="99"/>
      <c r="W88" s="8"/>
      <c r="X88" s="99" t="s">
        <v>236</v>
      </c>
      <c r="Y88" s="61">
        <f t="shared" si="79"/>
        <v>0</v>
      </c>
      <c r="Z88" s="110" t="str">
        <f>'CORE  2019'!W80</f>
        <v>y</v>
      </c>
    </row>
    <row r="89" spans="1:26">
      <c r="A89" t="str">
        <f>'CORE  2019'!B81</f>
        <v>131.04.01.03</v>
      </c>
      <c r="B89" t="str">
        <f>'CORE  2019'!C81</f>
        <v>Control Rooms</v>
      </c>
      <c r="C89" s="110" t="str">
        <f>'CORE  2019'!D81</f>
        <v>N/A</v>
      </c>
      <c r="D89" t="str">
        <f>'CORE  2019'!E81</f>
        <v>power distribution in cntrl</v>
      </c>
      <c r="E89" s="108">
        <f>'CORE  2019'!J81</f>
        <v>4.55</v>
      </c>
      <c r="F89" s="94">
        <f t="shared" si="69"/>
        <v>0.2</v>
      </c>
      <c r="G89" s="93">
        <f t="shared" si="70"/>
        <v>0.91</v>
      </c>
      <c r="H89" s="94">
        <f t="shared" si="71"/>
        <v>0.12</v>
      </c>
      <c r="I89" s="93">
        <f t="shared" si="72"/>
        <v>0.54599999999999993</v>
      </c>
      <c r="J89" s="95">
        <f t="shared" si="73"/>
        <v>7.8E-2</v>
      </c>
      <c r="K89" s="93">
        <f t="shared" si="74"/>
        <v>0.468468</v>
      </c>
      <c r="L89" s="95">
        <f t="shared" si="75"/>
        <v>8.5000000000000006E-2</v>
      </c>
      <c r="M89" s="93">
        <f t="shared" si="76"/>
        <v>0.38675000000000004</v>
      </c>
      <c r="N89" s="23">
        <f t="shared" si="77"/>
        <v>6.861218</v>
      </c>
      <c r="O89" s="99"/>
      <c r="P89" s="99"/>
      <c r="Q89" s="99"/>
      <c r="R89" s="8"/>
      <c r="S89" s="8"/>
      <c r="T89" s="8">
        <f t="shared" si="78"/>
        <v>3.430609</v>
      </c>
      <c r="U89" s="8">
        <f t="shared" si="78"/>
        <v>3.430609</v>
      </c>
      <c r="V89" s="99"/>
      <c r="W89" s="8"/>
      <c r="X89" s="99" t="s">
        <v>236</v>
      </c>
      <c r="Y89" s="61">
        <f t="shared" si="79"/>
        <v>0</v>
      </c>
      <c r="Z89" s="110" t="str">
        <f>'CORE  2019'!W81</f>
        <v>y</v>
      </c>
    </row>
    <row r="90" spans="1:26">
      <c r="A90" t="str">
        <f>'CORE  2019'!B82</f>
        <v>131.04.01.03</v>
      </c>
      <c r="B90" t="str">
        <f>'CORE  2019'!C82</f>
        <v>Control Rooms</v>
      </c>
      <c r="C90" s="110" t="str">
        <f>'CORE  2019'!D82</f>
        <v>N/A</v>
      </c>
      <c r="D90" t="str">
        <f>'CORE  2019'!E82</f>
        <v>Net distribution in cavern/wifi</v>
      </c>
      <c r="E90" s="108">
        <f>'CORE  2019'!J82</f>
        <v>394.05</v>
      </c>
      <c r="F90" s="94">
        <f t="shared" si="69"/>
        <v>0.2</v>
      </c>
      <c r="G90" s="93">
        <f t="shared" si="70"/>
        <v>78.81</v>
      </c>
      <c r="H90" s="94">
        <f t="shared" si="71"/>
        <v>0.12</v>
      </c>
      <c r="I90" s="93">
        <f t="shared" si="72"/>
        <v>47.286000000000001</v>
      </c>
      <c r="J90" s="95">
        <f t="shared" si="73"/>
        <v>7.8E-2</v>
      </c>
      <c r="K90" s="93">
        <f t="shared" si="74"/>
        <v>40.571387999999999</v>
      </c>
      <c r="L90" s="95">
        <f t="shared" si="75"/>
        <v>8.5000000000000006E-2</v>
      </c>
      <c r="M90" s="93">
        <f t="shared" si="76"/>
        <v>33.494250000000001</v>
      </c>
      <c r="N90" s="23">
        <f t="shared" si="77"/>
        <v>594.21163799999988</v>
      </c>
      <c r="O90" s="97"/>
      <c r="P90" s="99"/>
      <c r="Q90" s="99"/>
      <c r="R90" s="8"/>
      <c r="S90" s="8"/>
      <c r="T90" s="8">
        <f t="shared" si="78"/>
        <v>297.10581899999994</v>
      </c>
      <c r="U90" s="8">
        <f t="shared" si="78"/>
        <v>297.10581899999994</v>
      </c>
      <c r="V90" s="99"/>
      <c r="W90" s="8"/>
      <c r="X90" s="99" t="s">
        <v>236</v>
      </c>
      <c r="Y90" s="61">
        <f t="shared" si="79"/>
        <v>0</v>
      </c>
      <c r="Z90" s="110" t="str">
        <f>'CORE  2019'!W82</f>
        <v>y</v>
      </c>
    </row>
    <row r="91" spans="1:26">
      <c r="A91" t="str">
        <f>'CORE  2019'!B83</f>
        <v>131.04.01.03</v>
      </c>
      <c r="B91" t="str">
        <f>'CORE  2019'!C83</f>
        <v>Control Rooms</v>
      </c>
      <c r="C91" s="110" t="str">
        <f>'CORE  2019'!D83</f>
        <v>N/A</v>
      </c>
      <c r="D91" t="str">
        <f>'CORE  2019'!E83</f>
        <v>tables and chairs</v>
      </c>
      <c r="E91" s="108">
        <f>'CORE  2019'!J83</f>
        <v>27</v>
      </c>
      <c r="F91" s="94">
        <f t="shared" si="69"/>
        <v>0.2</v>
      </c>
      <c r="G91" s="93">
        <f t="shared" si="70"/>
        <v>5.4</v>
      </c>
      <c r="H91" s="94">
        <f t="shared" si="71"/>
        <v>0.12</v>
      </c>
      <c r="I91" s="93">
        <f t="shared" si="72"/>
        <v>3.2399999999999998</v>
      </c>
      <c r="J91" s="95">
        <f t="shared" si="73"/>
        <v>7.8E-2</v>
      </c>
      <c r="K91" s="93">
        <f t="shared" si="74"/>
        <v>2.7799200000000002</v>
      </c>
      <c r="L91" s="95">
        <f t="shared" si="75"/>
        <v>8.5000000000000006E-2</v>
      </c>
      <c r="M91" s="93">
        <f t="shared" si="76"/>
        <v>2.2950000000000004</v>
      </c>
      <c r="N91" s="23">
        <f t="shared" si="77"/>
        <v>40.714919999999999</v>
      </c>
      <c r="O91" s="99"/>
      <c r="P91" s="99"/>
      <c r="Q91" s="99"/>
      <c r="R91" s="8"/>
      <c r="S91" s="8"/>
      <c r="T91" s="8">
        <f t="shared" si="78"/>
        <v>20.35746</v>
      </c>
      <c r="U91" s="8">
        <f t="shared" si="78"/>
        <v>20.35746</v>
      </c>
      <c r="V91" s="99"/>
      <c r="W91" s="8"/>
      <c r="X91" s="99" t="s">
        <v>236</v>
      </c>
      <c r="Y91" s="61">
        <f t="shared" si="79"/>
        <v>0</v>
      </c>
      <c r="Z91" s="110" t="str">
        <f>'CORE  2019'!W83</f>
        <v>y</v>
      </c>
    </row>
    <row r="92" spans="1:26">
      <c r="A92" t="str">
        <f>'CORE  2019'!B84</f>
        <v>131.04.01.03</v>
      </c>
      <c r="B92" t="str">
        <f>'CORE  2019'!C84</f>
        <v>Control Rooms</v>
      </c>
      <c r="C92" s="110" t="str">
        <f>'CORE  2019'!D84</f>
        <v>N/A</v>
      </c>
      <c r="D92" t="str">
        <f>'CORE  2019'!E84</f>
        <v>fire life safety/ barack</v>
      </c>
      <c r="E92" s="108">
        <f>'CORE  2019'!J84</f>
        <v>11.856</v>
      </c>
      <c r="F92" s="94">
        <f t="shared" si="69"/>
        <v>0.2</v>
      </c>
      <c r="G92" s="93">
        <f t="shared" si="70"/>
        <v>2.3712</v>
      </c>
      <c r="H92" s="94">
        <f t="shared" si="71"/>
        <v>0.12</v>
      </c>
      <c r="I92" s="93">
        <f t="shared" si="72"/>
        <v>1.42272</v>
      </c>
      <c r="J92" s="95">
        <f t="shared" si="73"/>
        <v>7.8E-2</v>
      </c>
      <c r="K92" s="93">
        <f t="shared" si="74"/>
        <v>1.2206937600000001</v>
      </c>
      <c r="L92" s="95">
        <f t="shared" si="75"/>
        <v>8.5000000000000006E-2</v>
      </c>
      <c r="M92" s="93">
        <f t="shared" si="76"/>
        <v>1.00776</v>
      </c>
      <c r="N92" s="23">
        <f t="shared" si="77"/>
        <v>17.878373760000002</v>
      </c>
      <c r="O92" s="99"/>
      <c r="P92" s="99"/>
      <c r="Q92" s="99"/>
      <c r="R92" s="8"/>
      <c r="S92" s="8"/>
      <c r="T92" s="8">
        <f t="shared" si="78"/>
        <v>8.9391868800000012</v>
      </c>
      <c r="U92" s="8">
        <f t="shared" si="78"/>
        <v>8.9391868800000012</v>
      </c>
      <c r="V92" s="99"/>
      <c r="W92" s="8"/>
      <c r="X92" s="99" t="s">
        <v>236</v>
      </c>
      <c r="Y92" s="61">
        <f t="shared" si="79"/>
        <v>0</v>
      </c>
      <c r="Z92" s="110" t="str">
        <f>'CORE  2019'!W84</f>
        <v>y</v>
      </c>
    </row>
    <row r="93" spans="1:26">
      <c r="A93" t="str">
        <f>'CORE  2019'!B85</f>
        <v>131.04.01.03</v>
      </c>
      <c r="B93" t="str">
        <f>'CORE  2019'!C85</f>
        <v>Control Rooms</v>
      </c>
      <c r="C93" s="110">
        <f>'CORE  2019'!D85</f>
        <v>1</v>
      </c>
      <c r="D93" t="str">
        <f>'CORE  2019'!E85</f>
        <v>det 1 cryo room (cpu, screens, table)</v>
      </c>
      <c r="E93" s="108">
        <f>'CORE  2019'!J85</f>
        <v>12.5</v>
      </c>
      <c r="F93" s="94">
        <f t="shared" si="69"/>
        <v>0.2</v>
      </c>
      <c r="G93" s="93">
        <f t="shared" si="70"/>
        <v>2.5</v>
      </c>
      <c r="H93" s="94">
        <f t="shared" si="71"/>
        <v>0.12</v>
      </c>
      <c r="I93" s="93">
        <f t="shared" si="72"/>
        <v>1.5</v>
      </c>
      <c r="J93" s="95">
        <f t="shared" si="73"/>
        <v>7.8E-2</v>
      </c>
      <c r="K93" s="93">
        <f t="shared" si="74"/>
        <v>1.2869999999999999</v>
      </c>
      <c r="L93" s="95">
        <f t="shared" si="75"/>
        <v>8.5000000000000006E-2</v>
      </c>
      <c r="M93" s="93">
        <f t="shared" si="76"/>
        <v>1.0625</v>
      </c>
      <c r="N93" s="23">
        <f t="shared" si="77"/>
        <v>18.849499999999999</v>
      </c>
      <c r="O93" s="99"/>
      <c r="P93" s="99"/>
      <c r="Q93" s="99"/>
      <c r="R93" s="8"/>
      <c r="S93" s="8">
        <f t="shared" ref="S93:T95" si="80">$N93/2</f>
        <v>9.4247499999999995</v>
      </c>
      <c r="T93" s="8">
        <f t="shared" si="80"/>
        <v>9.4247499999999995</v>
      </c>
      <c r="U93" s="8"/>
      <c r="V93" s="99"/>
      <c r="W93" s="8"/>
      <c r="X93" s="99" t="s">
        <v>236</v>
      </c>
      <c r="Y93" s="61">
        <f t="shared" si="79"/>
        <v>0</v>
      </c>
      <c r="Z93" s="110" t="str">
        <f>'CORE  2019'!W85</f>
        <v>y</v>
      </c>
    </row>
    <row r="94" spans="1:26">
      <c r="A94" t="str">
        <f>'CORE  2019'!B86</f>
        <v>131.04.01.03</v>
      </c>
      <c r="B94" t="str">
        <f>'CORE  2019'!C86</f>
        <v>Control Rooms</v>
      </c>
      <c r="C94" s="110">
        <f>'CORE  2019'!D86</f>
        <v>2</v>
      </c>
      <c r="D94" t="str">
        <f>'CORE  2019'!E86</f>
        <v>det 2 cryo room (cpu, screens, table)</v>
      </c>
      <c r="E94" s="108">
        <f>'CORE  2019'!J86</f>
        <v>12.5</v>
      </c>
      <c r="F94" s="94">
        <f t="shared" si="69"/>
        <v>0.2</v>
      </c>
      <c r="G94" s="93">
        <f t="shared" si="70"/>
        <v>2.5</v>
      </c>
      <c r="H94" s="94">
        <f t="shared" si="71"/>
        <v>0.12</v>
      </c>
      <c r="I94" s="93">
        <f t="shared" si="72"/>
        <v>1.5</v>
      </c>
      <c r="J94" s="95">
        <f t="shared" si="73"/>
        <v>7.8E-2</v>
      </c>
      <c r="K94" s="93">
        <f t="shared" si="74"/>
        <v>1.2869999999999999</v>
      </c>
      <c r="L94" s="95">
        <f t="shared" si="75"/>
        <v>8.5000000000000006E-2</v>
      </c>
      <c r="M94" s="93">
        <f t="shared" si="76"/>
        <v>1.0625</v>
      </c>
      <c r="N94" s="23">
        <f t="shared" si="77"/>
        <v>18.849499999999999</v>
      </c>
      <c r="O94" s="99"/>
      <c r="P94" s="99"/>
      <c r="Q94" s="99"/>
      <c r="R94" s="8"/>
      <c r="S94" s="8">
        <f t="shared" si="80"/>
        <v>9.4247499999999995</v>
      </c>
      <c r="T94" s="8">
        <f t="shared" si="80"/>
        <v>9.4247499999999995</v>
      </c>
      <c r="U94" s="8"/>
      <c r="V94" s="99"/>
      <c r="W94" s="8"/>
      <c r="X94" s="99" t="s">
        <v>236</v>
      </c>
      <c r="Y94" s="61">
        <f t="shared" si="79"/>
        <v>0</v>
      </c>
      <c r="Z94" s="110" t="str">
        <f>'CORE  2019'!W86</f>
        <v>y</v>
      </c>
    </row>
    <row r="95" spans="1:26">
      <c r="A95" t="str">
        <f>'CORE  2019'!B87</f>
        <v>131.04.01.03</v>
      </c>
      <c r="B95" t="str">
        <f>'CORE  2019'!C87</f>
        <v>Control Rooms</v>
      </c>
      <c r="C95" s="110">
        <f>'CORE  2019'!D87</f>
        <v>1</v>
      </c>
      <c r="D95" t="str">
        <f>'CORE  2019'!E87</f>
        <v>baracks cryo 1+ light + power + desks</v>
      </c>
      <c r="E95" s="108">
        <f>'CORE  2019'!J87</f>
        <v>108</v>
      </c>
      <c r="F95" s="94">
        <f t="shared" si="69"/>
        <v>0.2</v>
      </c>
      <c r="G95" s="93">
        <f t="shared" si="70"/>
        <v>21.6</v>
      </c>
      <c r="H95" s="94">
        <f t="shared" si="71"/>
        <v>0.12</v>
      </c>
      <c r="I95" s="93">
        <f t="shared" si="72"/>
        <v>12.959999999999999</v>
      </c>
      <c r="J95" s="95">
        <f t="shared" si="73"/>
        <v>7.8E-2</v>
      </c>
      <c r="K95" s="93">
        <f t="shared" si="74"/>
        <v>11.119680000000001</v>
      </c>
      <c r="L95" s="95">
        <f t="shared" si="75"/>
        <v>8.5000000000000006E-2</v>
      </c>
      <c r="M95" s="93">
        <f t="shared" si="76"/>
        <v>9.1800000000000015</v>
      </c>
      <c r="N95" s="23">
        <f t="shared" si="77"/>
        <v>162.85968</v>
      </c>
      <c r="O95" s="99"/>
      <c r="P95" s="99"/>
      <c r="Q95" s="99"/>
      <c r="R95" s="8"/>
      <c r="S95" s="8">
        <f t="shared" si="80"/>
        <v>81.429839999999999</v>
      </c>
      <c r="T95" s="8">
        <f t="shared" si="80"/>
        <v>81.429839999999999</v>
      </c>
      <c r="U95" s="8"/>
      <c r="V95" s="99"/>
      <c r="W95" s="8"/>
      <c r="X95" s="63" t="s">
        <v>231</v>
      </c>
      <c r="Y95" s="61">
        <f t="shared" si="79"/>
        <v>0</v>
      </c>
      <c r="Z95" s="110" t="str">
        <f>'CORE  2019'!W87</f>
        <v>y</v>
      </c>
    </row>
    <row r="96" spans="1:26">
      <c r="A96" t="str">
        <f>'CORE  2019'!B88</f>
        <v>131.04.01.03</v>
      </c>
      <c r="B96" t="str">
        <f>'CORE  2019'!C88</f>
        <v>Control Rooms</v>
      </c>
      <c r="C96" s="110">
        <f>'CORE  2019'!D88</f>
        <v>2</v>
      </c>
      <c r="D96" t="str">
        <f>'CORE  2019'!E88</f>
        <v>baracks cryo 2+ light + power + desks</v>
      </c>
      <c r="E96" s="108">
        <f>'CORE  2019'!J88</f>
        <v>108</v>
      </c>
      <c r="F96" s="94">
        <f t="shared" si="69"/>
        <v>0.2</v>
      </c>
      <c r="G96" s="93">
        <f t="shared" si="70"/>
        <v>21.6</v>
      </c>
      <c r="H96" s="94">
        <f t="shared" si="71"/>
        <v>0.12</v>
      </c>
      <c r="I96" s="93">
        <f t="shared" si="72"/>
        <v>12.959999999999999</v>
      </c>
      <c r="J96" s="95">
        <f t="shared" si="73"/>
        <v>7.8E-2</v>
      </c>
      <c r="K96" s="93">
        <f t="shared" si="74"/>
        <v>11.119680000000001</v>
      </c>
      <c r="L96" s="95">
        <f t="shared" si="75"/>
        <v>8.5000000000000006E-2</v>
      </c>
      <c r="M96" s="93">
        <f t="shared" si="76"/>
        <v>9.1800000000000015</v>
      </c>
      <c r="N96" s="23">
        <f t="shared" si="77"/>
        <v>162.85968</v>
      </c>
      <c r="O96" s="99"/>
      <c r="P96" s="99"/>
      <c r="Q96" s="99"/>
      <c r="R96" s="8"/>
      <c r="S96" s="8" t="s">
        <v>0</v>
      </c>
      <c r="T96" s="8">
        <f>$N96/2</f>
        <v>81.429839999999999</v>
      </c>
      <c r="U96" s="8">
        <f>$N96/2</f>
        <v>81.429839999999999</v>
      </c>
      <c r="V96" s="99"/>
      <c r="W96" s="8"/>
      <c r="X96" s="63" t="s">
        <v>231</v>
      </c>
      <c r="Y96" s="61">
        <f t="shared" si="79"/>
        <v>0</v>
      </c>
      <c r="Z96" s="110" t="str">
        <f>'CORE  2019'!W88</f>
        <v>y</v>
      </c>
    </row>
    <row r="97" spans="1:26">
      <c r="A97" t="s">
        <v>0</v>
      </c>
      <c r="B97" t="s">
        <v>0</v>
      </c>
      <c r="C97" s="110" t="s">
        <v>0</v>
      </c>
      <c r="D97" t="s">
        <v>0</v>
      </c>
      <c r="E97" s="108" t="str">
        <f>'CORE  2019'!J89</f>
        <v xml:space="preserve"> </v>
      </c>
      <c r="G97" s="123"/>
      <c r="J97" s="149"/>
      <c r="K97" s="93" t="s">
        <v>0</v>
      </c>
      <c r="N97" s="23" t="s">
        <v>0</v>
      </c>
      <c r="O97" s="99"/>
      <c r="P97" s="99"/>
      <c r="Q97" s="99"/>
      <c r="R97" s="8"/>
      <c r="S97" s="8"/>
      <c r="T97" s="8"/>
      <c r="U97" s="8"/>
      <c r="V97" s="99"/>
      <c r="W97" s="8"/>
      <c r="X97" s="99"/>
      <c r="Y97" s="8"/>
      <c r="Z97" s="110" t="str">
        <f>'CORE  2019'!W89</f>
        <v xml:space="preserve"> </v>
      </c>
    </row>
    <row r="98" spans="1:26">
      <c r="A98" s="113" t="s">
        <v>0</v>
      </c>
      <c r="B98" s="113" t="str">
        <f>'CORE  2019'!C90</f>
        <v>Transport Tools</v>
      </c>
      <c r="C98" s="118">
        <f>SUM(N99:N111)</f>
        <v>2795.5230506280004</v>
      </c>
      <c r="E98" s="108" t="s">
        <v>0</v>
      </c>
      <c r="G98" s="123"/>
      <c r="J98" s="149"/>
      <c r="K98" s="93" t="s">
        <v>0</v>
      </c>
      <c r="N98" s="23" t="s">
        <v>0</v>
      </c>
      <c r="O98" s="99"/>
      <c r="P98" s="99"/>
      <c r="Q98" s="99"/>
      <c r="R98" s="8"/>
      <c r="S98" s="8"/>
      <c r="T98" s="8"/>
      <c r="U98" s="8"/>
      <c r="V98" s="99"/>
      <c r="W98" s="8"/>
      <c r="X98" s="99"/>
      <c r="Y98" s="8"/>
      <c r="Z98" s="110" t="str">
        <f>'CORE  2019'!W90</f>
        <v xml:space="preserve"> </v>
      </c>
    </row>
    <row r="99" spans="1:26">
      <c r="A99" t="str">
        <f>'CORE  2019'!B91</f>
        <v>131.04.01.02</v>
      </c>
      <c r="B99" t="str">
        <f>'CORE  2019'!C91</f>
        <v>Transport Tools</v>
      </c>
      <c r="C99" s="110" t="str">
        <f>'CORE  2019'!D91</f>
        <v>N/A</v>
      </c>
      <c r="D99" t="str">
        <f>'CORE  2019'!E91</f>
        <v>engines</v>
      </c>
      <c r="E99" s="108">
        <f>'CORE  2019'!J91</f>
        <v>155.00289999999998</v>
      </c>
      <c r="F99" s="94">
        <f t="shared" ref="F99:F111" si="81">$A$7</f>
        <v>0.2</v>
      </c>
      <c r="G99" s="93">
        <f t="shared" ref="G99:G111" si="82">F99*E99</f>
        <v>31.000579999999999</v>
      </c>
      <c r="H99" s="94">
        <f t="shared" ref="H99:H111" si="83">$A$9</f>
        <v>0.12</v>
      </c>
      <c r="I99" s="93">
        <f t="shared" ref="I99:I111" si="84">H99*E99</f>
        <v>18.600347999999997</v>
      </c>
      <c r="J99" s="95">
        <f t="shared" ref="J99:J111" si="85">$A$3</f>
        <v>7.8E-2</v>
      </c>
      <c r="K99" s="93">
        <f t="shared" ref="K99:K111" si="86">($E99+$G99+$I99)*$J99</f>
        <v>15.959098583999998</v>
      </c>
      <c r="L99" s="95">
        <f t="shared" ref="L99:L111" si="87">$A$11</f>
        <v>8.5000000000000006E-2</v>
      </c>
      <c r="M99" s="93">
        <f t="shared" ref="M99:M111" si="88">L99*E99</f>
        <v>13.1752465</v>
      </c>
      <c r="N99" s="23">
        <f t="shared" ref="N99:N111" si="89">E99+G99+I99+K99+M99</f>
        <v>233.73817308399998</v>
      </c>
      <c r="O99" s="99"/>
      <c r="P99" s="99"/>
      <c r="Q99" s="99"/>
      <c r="R99" s="8">
        <f t="shared" ref="R99:R104" si="90">N99*0.6</f>
        <v>140.24290385039998</v>
      </c>
      <c r="S99" s="8">
        <f t="shared" ref="S99:S104" si="91">N99*0.4</f>
        <v>93.495269233599998</v>
      </c>
      <c r="T99" s="8"/>
      <c r="U99" s="8"/>
      <c r="V99" s="99"/>
      <c r="W99" s="8"/>
      <c r="X99" s="63" t="s">
        <v>231</v>
      </c>
      <c r="Y99" s="61">
        <f t="shared" ref="Y99:Y105" si="92">SUM(O99:W99)-N99</f>
        <v>0</v>
      </c>
      <c r="Z99" s="110" t="str">
        <f>'CORE  2019'!W91</f>
        <v>y</v>
      </c>
    </row>
    <row r="100" spans="1:26">
      <c r="A100" t="str">
        <f>'CORE  2019'!B92</f>
        <v>131.04.01.02</v>
      </c>
      <c r="B100" t="str">
        <f>'CORE  2019'!C92</f>
        <v>Transport Tools</v>
      </c>
      <c r="C100" s="110" t="str">
        <f>'CORE  2019'!D92</f>
        <v>N/A</v>
      </c>
      <c r="D100" t="str">
        <f>'CORE  2019'!E92</f>
        <v>wagons</v>
      </c>
      <c r="E100" s="108">
        <f>'CORE  2019'!J92</f>
        <v>140.4</v>
      </c>
      <c r="F100" s="94">
        <f t="shared" si="81"/>
        <v>0.2</v>
      </c>
      <c r="G100" s="93">
        <f t="shared" si="82"/>
        <v>28.080000000000002</v>
      </c>
      <c r="H100" s="94">
        <f t="shared" si="83"/>
        <v>0.12</v>
      </c>
      <c r="I100" s="93">
        <f t="shared" si="84"/>
        <v>16.847999999999999</v>
      </c>
      <c r="J100" s="95">
        <f t="shared" si="85"/>
        <v>7.8E-2</v>
      </c>
      <c r="K100" s="93">
        <f t="shared" si="86"/>
        <v>14.455584000000002</v>
      </c>
      <c r="L100" s="95">
        <f t="shared" si="87"/>
        <v>8.5000000000000006E-2</v>
      </c>
      <c r="M100" s="93">
        <f t="shared" si="88"/>
        <v>11.934000000000001</v>
      </c>
      <c r="N100" s="23">
        <f t="shared" si="89"/>
        <v>211.71758400000002</v>
      </c>
      <c r="O100" s="99"/>
      <c r="P100" s="99"/>
      <c r="Q100" s="99"/>
      <c r="R100" s="8">
        <f t="shared" si="90"/>
        <v>127.03055040000001</v>
      </c>
      <c r="S100" s="8">
        <f t="shared" si="91"/>
        <v>84.687033600000007</v>
      </c>
      <c r="T100" s="8"/>
      <c r="U100" s="8"/>
      <c r="V100" s="99"/>
      <c r="W100" s="8"/>
      <c r="X100" s="63" t="s">
        <v>231</v>
      </c>
      <c r="Y100" s="61">
        <f t="shared" si="92"/>
        <v>0</v>
      </c>
      <c r="Z100" s="110" t="str">
        <f>'CORE  2019'!W92</f>
        <v>y</v>
      </c>
    </row>
    <row r="101" spans="1:26">
      <c r="A101" t="str">
        <f>'CORE  2019'!B93</f>
        <v>131.04.01.02</v>
      </c>
      <c r="B101" t="str">
        <f>'CORE  2019'!C93</f>
        <v>Transport Tools</v>
      </c>
      <c r="C101" s="110" t="str">
        <f>'CORE  2019'!D93</f>
        <v>N/A</v>
      </c>
      <c r="D101" t="str">
        <f>'CORE  2019'!E93</f>
        <v>mobile crane at shaft botton</v>
      </c>
      <c r="E101" s="108">
        <f>'CORE  2019'!J93</f>
        <v>94.9</v>
      </c>
      <c r="F101" s="94">
        <f t="shared" si="81"/>
        <v>0.2</v>
      </c>
      <c r="G101" s="93">
        <f t="shared" si="82"/>
        <v>18.98</v>
      </c>
      <c r="H101" s="94">
        <f t="shared" si="83"/>
        <v>0.12</v>
      </c>
      <c r="I101" s="93">
        <f t="shared" si="84"/>
        <v>11.388</v>
      </c>
      <c r="J101" s="95">
        <f t="shared" si="85"/>
        <v>7.8E-2</v>
      </c>
      <c r="K101" s="93">
        <f t="shared" si="86"/>
        <v>9.7709040000000016</v>
      </c>
      <c r="L101" s="95">
        <f t="shared" si="87"/>
        <v>8.5000000000000006E-2</v>
      </c>
      <c r="M101" s="93">
        <f t="shared" si="88"/>
        <v>8.0665000000000013</v>
      </c>
      <c r="N101" s="23">
        <f t="shared" si="89"/>
        <v>143.10540399999999</v>
      </c>
      <c r="O101" s="99"/>
      <c r="P101" s="99"/>
      <c r="Q101" s="99"/>
      <c r="R101" s="8">
        <f t="shared" si="90"/>
        <v>85.86324239999999</v>
      </c>
      <c r="S101" s="8">
        <f t="shared" si="91"/>
        <v>57.242161600000003</v>
      </c>
      <c r="T101" s="8"/>
      <c r="U101" s="8"/>
      <c r="V101" s="99"/>
      <c r="W101" s="8"/>
      <c r="X101" s="63" t="s">
        <v>231</v>
      </c>
      <c r="Y101" s="61">
        <f t="shared" si="92"/>
        <v>0</v>
      </c>
      <c r="Z101" s="110" t="str">
        <f>'CORE  2019'!W93</f>
        <v>y</v>
      </c>
    </row>
    <row r="102" spans="1:26">
      <c r="A102" t="str">
        <f>'CORE  2019'!B94</f>
        <v>131.04.01.02</v>
      </c>
      <c r="B102" t="str">
        <f>'CORE  2019'!C94</f>
        <v>Transport Tools</v>
      </c>
      <c r="C102" s="110" t="str">
        <f>'CORE  2019'!D94</f>
        <v>N/A</v>
      </c>
      <c r="D102" t="str">
        <f>'CORE  2019'!E94</f>
        <v>headframe transport tools telehandler rental</v>
      </c>
      <c r="E102" s="108">
        <f>'CORE  2019'!J94</f>
        <v>187.2</v>
      </c>
      <c r="F102" s="94">
        <f t="shared" si="81"/>
        <v>0.2</v>
      </c>
      <c r="G102" s="93">
        <f t="shared" si="82"/>
        <v>37.44</v>
      </c>
      <c r="H102" s="94">
        <f t="shared" si="83"/>
        <v>0.12</v>
      </c>
      <c r="I102" s="93">
        <f t="shared" si="84"/>
        <v>22.463999999999999</v>
      </c>
      <c r="J102" s="95">
        <f t="shared" si="85"/>
        <v>7.8E-2</v>
      </c>
      <c r="K102" s="93">
        <f t="shared" si="86"/>
        <v>19.274111999999999</v>
      </c>
      <c r="L102" s="95">
        <f t="shared" si="87"/>
        <v>8.5000000000000006E-2</v>
      </c>
      <c r="M102" s="93">
        <f t="shared" si="88"/>
        <v>15.912000000000001</v>
      </c>
      <c r="N102" s="23">
        <f t="shared" si="89"/>
        <v>282.29011199999997</v>
      </c>
      <c r="O102" s="99"/>
      <c r="P102" s="99"/>
      <c r="Q102" s="99"/>
      <c r="R102" s="8">
        <f t="shared" si="90"/>
        <v>169.37406719999998</v>
      </c>
      <c r="S102" s="8">
        <f t="shared" si="91"/>
        <v>112.91604479999999</v>
      </c>
      <c r="T102" s="8"/>
      <c r="U102" s="8"/>
      <c r="V102" s="99"/>
      <c r="W102" s="8"/>
      <c r="X102" s="63" t="s">
        <v>231</v>
      </c>
      <c r="Y102" s="61">
        <f t="shared" si="92"/>
        <v>0</v>
      </c>
      <c r="Z102" s="110" t="str">
        <f>'CORE  2019'!W94</f>
        <v>y</v>
      </c>
    </row>
    <row r="103" spans="1:26">
      <c r="A103" t="str">
        <f>'CORE  2019'!B95</f>
        <v>131.04.01.02</v>
      </c>
      <c r="B103" t="str">
        <f>'CORE  2019'!C95</f>
        <v>Transport Tools</v>
      </c>
      <c r="C103" s="110" t="str">
        <f>'CORE  2019'!D95</f>
        <v>N/A</v>
      </c>
      <c r="D103" t="str">
        <f>'CORE  2019'!E95</f>
        <v>headframe transport tools forklift rental</v>
      </c>
      <c r="E103" s="108">
        <f>'CORE  2019'!J95</f>
        <v>300.3</v>
      </c>
      <c r="F103" s="94">
        <f t="shared" si="81"/>
        <v>0.2</v>
      </c>
      <c r="G103" s="93">
        <f t="shared" si="82"/>
        <v>60.06</v>
      </c>
      <c r="H103" s="94">
        <f t="shared" si="83"/>
        <v>0.12</v>
      </c>
      <c r="I103" s="93">
        <f t="shared" si="84"/>
        <v>36.036000000000001</v>
      </c>
      <c r="J103" s="95">
        <f t="shared" si="85"/>
        <v>7.8E-2</v>
      </c>
      <c r="K103" s="93">
        <f t="shared" si="86"/>
        <v>30.918888000000003</v>
      </c>
      <c r="L103" s="95">
        <f t="shared" si="87"/>
        <v>8.5000000000000006E-2</v>
      </c>
      <c r="M103" s="93">
        <f t="shared" si="88"/>
        <v>25.525500000000005</v>
      </c>
      <c r="N103" s="23">
        <f t="shared" si="89"/>
        <v>452.84038800000002</v>
      </c>
      <c r="O103" s="99"/>
      <c r="P103" s="99"/>
      <c r="Q103" s="99"/>
      <c r="R103" s="8">
        <f t="shared" si="90"/>
        <v>271.7042328</v>
      </c>
      <c r="S103" s="8">
        <f t="shared" si="91"/>
        <v>181.13615520000002</v>
      </c>
      <c r="T103" s="8"/>
      <c r="U103" s="8"/>
      <c r="V103" s="99"/>
      <c r="W103" s="8"/>
      <c r="X103" s="63" t="s">
        <v>231</v>
      </c>
      <c r="Y103" s="61">
        <f t="shared" si="92"/>
        <v>0</v>
      </c>
      <c r="Z103" s="110" t="str">
        <f>'CORE  2019'!W95</f>
        <v>y</v>
      </c>
    </row>
    <row r="104" spans="1:26">
      <c r="A104" t="str">
        <f>'CORE  2019'!B96</f>
        <v>131.04.01.02</v>
      </c>
      <c r="B104" t="str">
        <f>'CORE  2019'!C96</f>
        <v>Transport Tools</v>
      </c>
      <c r="C104" s="110" t="str">
        <f>'CORE  2019'!D96</f>
        <v>N/A</v>
      </c>
      <c r="D104" t="str">
        <f>'CORE  2019'!E96</f>
        <v>headframe transport tools forklift purchase</v>
      </c>
      <c r="E104" s="108">
        <f>'CORE  2019'!J96</f>
        <v>130</v>
      </c>
      <c r="F104" s="94">
        <f t="shared" si="81"/>
        <v>0.2</v>
      </c>
      <c r="G104" s="93">
        <f t="shared" si="82"/>
        <v>26</v>
      </c>
      <c r="H104" s="94">
        <f t="shared" si="83"/>
        <v>0.12</v>
      </c>
      <c r="I104" s="93">
        <f t="shared" si="84"/>
        <v>15.6</v>
      </c>
      <c r="J104" s="95">
        <f t="shared" si="85"/>
        <v>7.8E-2</v>
      </c>
      <c r="K104" s="93">
        <f t="shared" si="86"/>
        <v>13.3848</v>
      </c>
      <c r="L104" s="95">
        <f t="shared" si="87"/>
        <v>8.5000000000000006E-2</v>
      </c>
      <c r="M104" s="93">
        <f t="shared" si="88"/>
        <v>11.05</v>
      </c>
      <c r="N104" s="23">
        <f t="shared" si="89"/>
        <v>196.03480000000002</v>
      </c>
      <c r="O104" s="99"/>
      <c r="P104" s="99"/>
      <c r="Q104" s="99"/>
      <c r="R104" s="8">
        <f t="shared" si="90"/>
        <v>117.62088</v>
      </c>
      <c r="S104" s="8">
        <f t="shared" si="91"/>
        <v>78.413920000000019</v>
      </c>
      <c r="T104" s="8"/>
      <c r="U104" s="8"/>
      <c r="V104" s="99"/>
      <c r="W104" s="8"/>
      <c r="X104" s="63" t="s">
        <v>231</v>
      </c>
      <c r="Y104" s="61">
        <f t="shared" si="92"/>
        <v>0</v>
      </c>
      <c r="Z104" s="110" t="str">
        <f>'CORE  2019'!W96</f>
        <v>y</v>
      </c>
    </row>
    <row r="105" spans="1:26">
      <c r="A105" t="str">
        <f>'CORE  2019'!B97</f>
        <v>131.04.01.02</v>
      </c>
      <c r="B105" t="str">
        <f>'CORE  2019'!C97</f>
        <v>Transport Tools</v>
      </c>
      <c r="C105" s="110" t="str">
        <f>'CORE  2019'!D97</f>
        <v>N/A</v>
      </c>
      <c r="D105" t="str">
        <f>'CORE  2019'!E97</f>
        <v>All terrain pallet jack for surface</v>
      </c>
      <c r="E105" s="108">
        <f>'CORE  2019'!J97</f>
        <v>24.7</v>
      </c>
      <c r="F105" s="94">
        <f t="shared" si="81"/>
        <v>0.2</v>
      </c>
      <c r="G105" s="93">
        <f t="shared" si="82"/>
        <v>4.9400000000000004</v>
      </c>
      <c r="H105" s="94">
        <f t="shared" si="83"/>
        <v>0.12</v>
      </c>
      <c r="I105" s="93">
        <f t="shared" si="84"/>
        <v>2.964</v>
      </c>
      <c r="J105" s="95">
        <f t="shared" si="85"/>
        <v>7.8E-2</v>
      </c>
      <c r="K105" s="93">
        <f t="shared" si="86"/>
        <v>2.5431119999999998</v>
      </c>
      <c r="L105" s="95">
        <f t="shared" si="87"/>
        <v>8.5000000000000006E-2</v>
      </c>
      <c r="M105" s="93">
        <f t="shared" si="88"/>
        <v>2.0994999999999999</v>
      </c>
      <c r="N105" s="23">
        <f t="shared" si="89"/>
        <v>37.246611999999999</v>
      </c>
      <c r="O105" s="99"/>
      <c r="P105" s="99"/>
      <c r="Q105" s="99"/>
      <c r="R105" s="8">
        <f>N105*0.3</f>
        <v>11.1739836</v>
      </c>
      <c r="S105" s="8">
        <f>N105*0.3</f>
        <v>11.1739836</v>
      </c>
      <c r="T105" s="8">
        <f>N105*0.2</f>
        <v>7.4493223999999998</v>
      </c>
      <c r="U105" s="8">
        <f>N105*0.2</f>
        <v>7.4493223999999998</v>
      </c>
      <c r="V105" s="99"/>
      <c r="W105" s="8"/>
      <c r="X105" s="63" t="s">
        <v>231</v>
      </c>
      <c r="Y105" s="61">
        <f t="shared" si="92"/>
        <v>0</v>
      </c>
      <c r="Z105" s="110" t="str">
        <f>'CORE  2019'!W97</f>
        <v>y</v>
      </c>
    </row>
    <row r="106" spans="1:26" s="121" customFormat="1">
      <c r="A106" s="121" t="str">
        <f>'CORE  2019'!B114</f>
        <v>131.04.01.07</v>
      </c>
      <c r="B106" s="121" t="str">
        <f>'CORE  2019'!C114</f>
        <v>Installation Tools</v>
      </c>
      <c r="C106" s="110" t="str">
        <f>'CORE  2019'!D98</f>
        <v>N/A</v>
      </c>
      <c r="D106" s="121" t="str">
        <f>'CORE  2019'!E114</f>
        <v>Cold box access lift</v>
      </c>
      <c r="E106" s="108">
        <f>'CORE  2019'!J98</f>
        <v>100</v>
      </c>
      <c r="F106" s="94">
        <f t="shared" si="81"/>
        <v>0.2</v>
      </c>
      <c r="G106" s="93">
        <f t="shared" si="82"/>
        <v>20</v>
      </c>
      <c r="H106" s="94">
        <f t="shared" si="83"/>
        <v>0.12</v>
      </c>
      <c r="I106" s="93">
        <f t="shared" si="84"/>
        <v>12</v>
      </c>
      <c r="J106" s="95">
        <f t="shared" si="85"/>
        <v>7.8E-2</v>
      </c>
      <c r="K106" s="93">
        <f t="shared" si="86"/>
        <v>10.295999999999999</v>
      </c>
      <c r="L106" s="95">
        <f t="shared" si="87"/>
        <v>8.5000000000000006E-2</v>
      </c>
      <c r="M106" s="93">
        <f t="shared" si="88"/>
        <v>8.5</v>
      </c>
      <c r="N106" s="23">
        <f t="shared" si="89"/>
        <v>150.79599999999999</v>
      </c>
      <c r="O106" s="122"/>
      <c r="P106" s="122"/>
      <c r="Q106" s="122"/>
      <c r="R106" s="8">
        <f t="shared" ref="R106:R111" si="93">N106*0.6</f>
        <v>90.477599999999995</v>
      </c>
      <c r="S106" s="8">
        <f t="shared" ref="S106:S111" si="94">N106*0.4</f>
        <v>60.318399999999997</v>
      </c>
      <c r="T106" s="8"/>
      <c r="U106" s="8"/>
      <c r="V106" s="122"/>
      <c r="W106" s="8"/>
      <c r="X106" s="63" t="s">
        <v>231</v>
      </c>
      <c r="Y106" s="61">
        <f t="shared" ref="Y106:Y111" si="95">SUM(O106:W106)-N106</f>
        <v>0</v>
      </c>
      <c r="Z106" s="110" t="str">
        <f>'CORE  2019'!W98</f>
        <v>y</v>
      </c>
    </row>
    <row r="107" spans="1:26" s="121" customFormat="1">
      <c r="A107" s="121" t="str">
        <f>'CORE  2019'!B115</f>
        <v>131.04.01.06</v>
      </c>
      <c r="B107" s="121" t="str">
        <f>'CORE  2019'!C115</f>
        <v>Installation Tools</v>
      </c>
      <c r="C107" s="110" t="str">
        <f>'CORE  2019'!D99</f>
        <v>N/A</v>
      </c>
      <c r="D107" s="121" t="str">
        <f>'CORE  2019'!E115</f>
        <v>ventilation system top man holes</v>
      </c>
      <c r="E107" s="108">
        <f>'CORE  2019'!J99</f>
        <v>136.34399999999999</v>
      </c>
      <c r="F107" s="94">
        <f t="shared" si="81"/>
        <v>0.2</v>
      </c>
      <c r="G107" s="93">
        <f t="shared" si="82"/>
        <v>27.268799999999999</v>
      </c>
      <c r="H107" s="94">
        <f t="shared" si="83"/>
        <v>0.12</v>
      </c>
      <c r="I107" s="93">
        <f t="shared" si="84"/>
        <v>16.361279999999997</v>
      </c>
      <c r="J107" s="95">
        <f t="shared" si="85"/>
        <v>7.8E-2</v>
      </c>
      <c r="K107" s="93">
        <f t="shared" si="86"/>
        <v>14.037978239999999</v>
      </c>
      <c r="L107" s="95">
        <f t="shared" si="87"/>
        <v>8.5000000000000006E-2</v>
      </c>
      <c r="M107" s="93">
        <f t="shared" si="88"/>
        <v>11.58924</v>
      </c>
      <c r="N107" s="23">
        <f t="shared" si="89"/>
        <v>205.60129823999998</v>
      </c>
      <c r="O107" s="122"/>
      <c r="P107" s="122"/>
      <c r="Q107" s="122"/>
      <c r="R107" s="8">
        <f t="shared" si="93"/>
        <v>123.36077894399997</v>
      </c>
      <c r="S107" s="8">
        <f t="shared" si="94"/>
        <v>82.240519296000002</v>
      </c>
      <c r="T107" s="8"/>
      <c r="U107" s="8"/>
      <c r="V107" s="122"/>
      <c r="W107" s="8"/>
      <c r="X107" s="63" t="s">
        <v>231</v>
      </c>
      <c r="Y107" s="61">
        <f t="shared" si="95"/>
        <v>0</v>
      </c>
      <c r="Z107" s="110" t="str">
        <f>'CORE  2019'!W99</f>
        <v>y</v>
      </c>
    </row>
    <row r="108" spans="1:26" s="121" customFormat="1">
      <c r="A108" s="121" t="str">
        <f>'CORE  2019'!B116</f>
        <v>131.04.01.07</v>
      </c>
      <c r="B108" s="121" t="str">
        <f>'CORE  2019'!C116</f>
        <v>Installation Tools</v>
      </c>
      <c r="C108" s="110" t="str">
        <f>'CORE  2019'!D100</f>
        <v>N/A</v>
      </c>
      <c r="D108" s="121" t="str">
        <f>'CORE  2019'!E116</f>
        <v>cold boxes</v>
      </c>
      <c r="E108" s="108">
        <f>'CORE  2019'!J100</f>
        <v>468</v>
      </c>
      <c r="F108" s="94">
        <f t="shared" si="81"/>
        <v>0.2</v>
      </c>
      <c r="G108" s="93">
        <f t="shared" si="82"/>
        <v>93.600000000000009</v>
      </c>
      <c r="H108" s="94">
        <f t="shared" si="83"/>
        <v>0.12</v>
      </c>
      <c r="I108" s="93">
        <f t="shared" si="84"/>
        <v>56.16</v>
      </c>
      <c r="J108" s="95">
        <f t="shared" si="85"/>
        <v>7.8E-2</v>
      </c>
      <c r="K108" s="93">
        <f t="shared" si="86"/>
        <v>48.185279999999999</v>
      </c>
      <c r="L108" s="95">
        <f t="shared" si="87"/>
        <v>8.5000000000000006E-2</v>
      </c>
      <c r="M108" s="93">
        <f t="shared" si="88"/>
        <v>39.78</v>
      </c>
      <c r="N108" s="23">
        <f t="shared" si="89"/>
        <v>705.72528</v>
      </c>
      <c r="O108" s="122"/>
      <c r="P108" s="122"/>
      <c r="Q108" s="122"/>
      <c r="R108" s="8">
        <f t="shared" si="93"/>
        <v>423.43516799999998</v>
      </c>
      <c r="S108" s="8">
        <f t="shared" si="94"/>
        <v>282.29011200000002</v>
      </c>
      <c r="T108" s="8"/>
      <c r="U108" s="8"/>
      <c r="V108" s="122"/>
      <c r="W108" s="8"/>
      <c r="X108" s="63" t="s">
        <v>231</v>
      </c>
      <c r="Y108" s="61">
        <f t="shared" si="95"/>
        <v>0</v>
      </c>
      <c r="Z108" s="110" t="str">
        <f>'CORE  2019'!W100</f>
        <v>y</v>
      </c>
    </row>
    <row r="109" spans="1:26" s="121" customFormat="1">
      <c r="A109" s="121" t="str">
        <f>'CORE  2019'!B117</f>
        <v>131.04.01.07</v>
      </c>
      <c r="B109" s="121" t="str">
        <f>'CORE  2019'!C117</f>
        <v>Installation Tools</v>
      </c>
      <c r="C109" s="110" t="str">
        <f>'CORE  2019'!D101</f>
        <v>N/A</v>
      </c>
      <c r="D109" s="121" t="str">
        <f>'CORE  2019'!E117</f>
        <v>N2 system for cold boxes</v>
      </c>
      <c r="E109" s="108">
        <f>'CORE  2019'!J101</f>
        <v>67.599999999999994</v>
      </c>
      <c r="F109" s="94">
        <f t="shared" si="81"/>
        <v>0.2</v>
      </c>
      <c r="G109" s="93">
        <f t="shared" si="82"/>
        <v>13.52</v>
      </c>
      <c r="H109" s="94">
        <f t="shared" si="83"/>
        <v>0.12</v>
      </c>
      <c r="I109" s="93">
        <f t="shared" si="84"/>
        <v>8.1119999999999983</v>
      </c>
      <c r="J109" s="95">
        <f t="shared" si="85"/>
        <v>7.8E-2</v>
      </c>
      <c r="K109" s="93">
        <f t="shared" si="86"/>
        <v>6.9600959999999992</v>
      </c>
      <c r="L109" s="95">
        <f t="shared" si="87"/>
        <v>8.5000000000000006E-2</v>
      </c>
      <c r="M109" s="93">
        <f t="shared" si="88"/>
        <v>5.7459999999999996</v>
      </c>
      <c r="N109" s="23">
        <f t="shared" si="89"/>
        <v>101.93809599999997</v>
      </c>
      <c r="O109" s="122"/>
      <c r="P109" s="122"/>
      <c r="Q109" s="122"/>
      <c r="R109" s="8">
        <f t="shared" si="93"/>
        <v>61.162857599999981</v>
      </c>
      <c r="S109" s="8">
        <f t="shared" si="94"/>
        <v>40.775238399999992</v>
      </c>
      <c r="T109" s="8"/>
      <c r="U109" s="8"/>
      <c r="V109" s="122"/>
      <c r="W109" s="8"/>
      <c r="X109" s="63" t="s">
        <v>231</v>
      </c>
      <c r="Y109" s="61">
        <f t="shared" si="95"/>
        <v>0</v>
      </c>
      <c r="Z109" s="110" t="str">
        <f>'CORE  2019'!W101</f>
        <v>y</v>
      </c>
    </row>
    <row r="110" spans="1:26" s="121" customFormat="1">
      <c r="A110" s="121" t="str">
        <f>'CORE  2019'!B118</f>
        <v>131.04.01.07</v>
      </c>
      <c r="B110" s="121" t="str">
        <f>'CORE  2019'!C118</f>
        <v>Installation Tools</v>
      </c>
      <c r="C110" s="110" t="str">
        <f>'CORE  2019'!D102</f>
        <v>N/A</v>
      </c>
      <c r="D110" s="121" t="str">
        <f>'CORE  2019'!E118</f>
        <v>CPA assembly tower/frame</v>
      </c>
      <c r="E110" s="108">
        <f>'CORE  2019'!J102</f>
        <v>39</v>
      </c>
      <c r="F110" s="94">
        <f t="shared" si="81"/>
        <v>0.2</v>
      </c>
      <c r="G110" s="93">
        <f t="shared" si="82"/>
        <v>7.8000000000000007</v>
      </c>
      <c r="H110" s="94">
        <f t="shared" si="83"/>
        <v>0.12</v>
      </c>
      <c r="I110" s="93">
        <f t="shared" si="84"/>
        <v>4.68</v>
      </c>
      <c r="J110" s="95">
        <f t="shared" si="85"/>
        <v>7.8E-2</v>
      </c>
      <c r="K110" s="93">
        <f t="shared" si="86"/>
        <v>4.0154399999999999</v>
      </c>
      <c r="L110" s="95">
        <f t="shared" si="87"/>
        <v>8.5000000000000006E-2</v>
      </c>
      <c r="M110" s="93">
        <f t="shared" si="88"/>
        <v>3.3150000000000004</v>
      </c>
      <c r="N110" s="23">
        <f t="shared" si="89"/>
        <v>58.810439999999993</v>
      </c>
      <c r="O110" s="122"/>
      <c r="P110" s="122"/>
      <c r="Q110" s="122"/>
      <c r="R110" s="8">
        <f t="shared" si="93"/>
        <v>35.286263999999996</v>
      </c>
      <c r="S110" s="8">
        <f t="shared" si="94"/>
        <v>23.524175999999997</v>
      </c>
      <c r="T110" s="8"/>
      <c r="U110" s="8"/>
      <c r="V110" s="122"/>
      <c r="W110" s="8"/>
      <c r="X110" s="63" t="s">
        <v>231</v>
      </c>
      <c r="Y110" s="61">
        <f t="shared" si="95"/>
        <v>0</v>
      </c>
      <c r="Z110" s="110" t="str">
        <f>'CORE  2019'!W102</f>
        <v>y</v>
      </c>
    </row>
    <row r="111" spans="1:26" s="121" customFormat="1">
      <c r="A111" s="121" t="str">
        <f>'CORE  2019'!B119</f>
        <v>131.04.01.07</v>
      </c>
      <c r="B111" s="121" t="str">
        <f>'CORE  2019'!C119</f>
        <v>Installation Tools</v>
      </c>
      <c r="C111" s="110" t="str">
        <f>'CORE  2019'!D103</f>
        <v>N/A</v>
      </c>
      <c r="D111" s="121" t="str">
        <f>'CORE  2019'!E119</f>
        <v>APA cable installation infrastructure</v>
      </c>
      <c r="E111" s="108">
        <f>'CORE  2019'!J103</f>
        <v>10.397399999999999</v>
      </c>
      <c r="F111" s="94">
        <f t="shared" si="81"/>
        <v>0.2</v>
      </c>
      <c r="G111" s="93">
        <f t="shared" si="82"/>
        <v>2.0794799999999998</v>
      </c>
      <c r="H111" s="94">
        <f t="shared" si="83"/>
        <v>0.12</v>
      </c>
      <c r="I111" s="93">
        <f t="shared" si="84"/>
        <v>1.2476879999999999</v>
      </c>
      <c r="J111" s="95">
        <f t="shared" si="85"/>
        <v>7.8E-2</v>
      </c>
      <c r="K111" s="93">
        <f t="shared" si="86"/>
        <v>1.0705163039999999</v>
      </c>
      <c r="L111" s="95">
        <f t="shared" si="87"/>
        <v>8.5000000000000006E-2</v>
      </c>
      <c r="M111" s="93">
        <f t="shared" si="88"/>
        <v>0.88377899999999998</v>
      </c>
      <c r="N111" s="23">
        <f t="shared" si="89"/>
        <v>15.678863304</v>
      </c>
      <c r="O111" s="122"/>
      <c r="P111" s="122"/>
      <c r="Q111" s="122"/>
      <c r="R111" s="8">
        <f t="shared" si="93"/>
        <v>9.4073179824000004</v>
      </c>
      <c r="S111" s="8">
        <f t="shared" si="94"/>
        <v>6.2715453216000006</v>
      </c>
      <c r="T111" s="8"/>
      <c r="U111" s="8"/>
      <c r="V111" s="122"/>
      <c r="W111" s="8"/>
      <c r="X111" s="63" t="s">
        <v>231</v>
      </c>
      <c r="Y111" s="61">
        <f t="shared" si="95"/>
        <v>0</v>
      </c>
      <c r="Z111" s="110" t="str">
        <f>'CORE  2019'!W103</f>
        <v>y</v>
      </c>
    </row>
    <row r="112" spans="1:26">
      <c r="A112" t="s">
        <v>0</v>
      </c>
      <c r="B112" t="s">
        <v>0</v>
      </c>
      <c r="C112" s="110" t="s">
        <v>0</v>
      </c>
      <c r="D112" t="s">
        <v>0</v>
      </c>
      <c r="E112" s="108" t="s">
        <v>0</v>
      </c>
      <c r="G112" s="123"/>
      <c r="J112" s="149"/>
      <c r="K112" s="93" t="s">
        <v>0</v>
      </c>
      <c r="N112" s="23" t="s">
        <v>0</v>
      </c>
      <c r="O112" s="99"/>
      <c r="P112" s="99"/>
      <c r="Q112" s="99"/>
      <c r="R112" s="8"/>
      <c r="S112" s="8"/>
      <c r="T112" s="8"/>
      <c r="U112" s="8"/>
      <c r="V112" s="99"/>
      <c r="W112" s="8"/>
      <c r="X112" s="99"/>
      <c r="Y112" s="8"/>
      <c r="Z112" s="110" t="str">
        <f>'CORE  2019'!W104</f>
        <v xml:space="preserve"> </v>
      </c>
    </row>
    <row r="113" spans="1:26">
      <c r="A113" s="113" t="s">
        <v>0</v>
      </c>
      <c r="B113" s="113" t="str">
        <f>'CORE  2019'!C105</f>
        <v>Installation Tools</v>
      </c>
      <c r="C113" s="117">
        <f>N140+N147+N148+N149</f>
        <v>854.04030881000006</v>
      </c>
      <c r="D113" s="116">
        <f>SUM(N114:N149)-C113</f>
        <v>14356.615020005123</v>
      </c>
      <c r="E113" s="108" t="s">
        <v>0</v>
      </c>
      <c r="G113" s="123"/>
      <c r="J113" s="149"/>
      <c r="K113" s="93" t="s">
        <v>0</v>
      </c>
      <c r="N113" s="23" t="s">
        <v>0</v>
      </c>
      <c r="O113" s="99"/>
      <c r="P113" s="99"/>
      <c r="Q113" s="99"/>
      <c r="R113" s="8"/>
      <c r="S113" s="8"/>
      <c r="T113" s="8"/>
      <c r="U113" s="8"/>
      <c r="V113" s="99"/>
      <c r="W113" s="8"/>
      <c r="X113" s="99"/>
      <c r="Y113" s="8"/>
      <c r="Z113" s="110" t="str">
        <f>'CORE  2019'!W105</f>
        <v xml:space="preserve"> </v>
      </c>
    </row>
    <row r="114" spans="1:26">
      <c r="A114" t="str">
        <f>'CORE  2019'!B106</f>
        <v>131.04.01.06</v>
      </c>
      <c r="B114" t="str">
        <f>'CORE  2019'!C106</f>
        <v>Installation Tools</v>
      </c>
      <c r="C114" s="110">
        <f>'CORE  2019'!D106</f>
        <v>1</v>
      </c>
      <c r="D114" t="str">
        <f>'CORE  2019'!E106</f>
        <v>basic clean room structure (metallic str.)</v>
      </c>
      <c r="E114" s="108">
        <f>'CORE  2019'!J106</f>
        <v>224.09010000000001</v>
      </c>
      <c r="F114" s="94">
        <f t="shared" ref="F114:F149" si="96">$A$7</f>
        <v>0.2</v>
      </c>
      <c r="G114" s="93">
        <f t="shared" ref="G114:G149" si="97">F114*E114</f>
        <v>44.818020000000004</v>
      </c>
      <c r="H114" s="94">
        <f t="shared" ref="H114:H149" si="98">$A$9</f>
        <v>0.12</v>
      </c>
      <c r="I114" s="93">
        <f t="shared" ref="I114:I149" si="99">H114*E114</f>
        <v>26.890812</v>
      </c>
      <c r="J114" s="95">
        <f t="shared" ref="J114:J149" si="100">$A$3</f>
        <v>7.8E-2</v>
      </c>
      <c r="K114" s="93">
        <f t="shared" ref="K114:K149" si="101">($E114+$G114+$I114)*$J114</f>
        <v>23.072316695999998</v>
      </c>
      <c r="L114" s="95">
        <f t="shared" ref="L114:L149" si="102">$A$11</f>
        <v>8.5000000000000006E-2</v>
      </c>
      <c r="M114" s="93">
        <f t="shared" ref="M114:M149" si="103">L114*E114</f>
        <v>19.047658500000001</v>
      </c>
      <c r="N114" s="23">
        <f t="shared" ref="N114:N149" si="104">E114+G114+I114+K114+M114</f>
        <v>337.91890719599996</v>
      </c>
      <c r="O114" s="99"/>
      <c r="P114" s="99"/>
      <c r="Q114" s="99"/>
      <c r="R114" s="8">
        <f>N114*0.6</f>
        <v>202.75134431759997</v>
      </c>
      <c r="S114" s="8">
        <f>N114*0.4</f>
        <v>135.16756287839999</v>
      </c>
      <c r="T114" s="8"/>
      <c r="U114" s="8"/>
      <c r="V114" s="99"/>
      <c r="W114" s="8"/>
      <c r="X114" s="99" t="s">
        <v>236</v>
      </c>
      <c r="Y114" s="61">
        <f t="shared" ref="Y114:Y149" si="105">SUM(O114:W114)-N114</f>
        <v>0</v>
      </c>
      <c r="Z114" s="110" t="str">
        <f>'CORE  2019'!W106</f>
        <v>y</v>
      </c>
    </row>
    <row r="115" spans="1:26">
      <c r="A115" t="str">
        <f>'CORE  2019'!B107</f>
        <v>131.04.01.06</v>
      </c>
      <c r="B115" t="str">
        <f>'CORE  2019'!C107</f>
        <v>Installation Tools</v>
      </c>
      <c r="C115" s="110">
        <f>'CORE  2019'!D107</f>
        <v>1</v>
      </c>
      <c r="D115" t="str">
        <f>'CORE  2019'!E107</f>
        <v>basic clean room structure(walls)</v>
      </c>
      <c r="E115" s="108">
        <f>'CORE  2019'!J107</f>
        <v>135.19999999999999</v>
      </c>
      <c r="F115" s="94">
        <f t="shared" si="96"/>
        <v>0.2</v>
      </c>
      <c r="G115" s="93">
        <f t="shared" si="97"/>
        <v>27.04</v>
      </c>
      <c r="H115" s="94">
        <f t="shared" si="98"/>
        <v>0.12</v>
      </c>
      <c r="I115" s="93">
        <f t="shared" si="99"/>
        <v>16.223999999999997</v>
      </c>
      <c r="J115" s="95">
        <f t="shared" si="100"/>
        <v>7.8E-2</v>
      </c>
      <c r="K115" s="93">
        <f t="shared" si="101"/>
        <v>13.920191999999998</v>
      </c>
      <c r="L115" s="95">
        <f t="shared" si="102"/>
        <v>8.5000000000000006E-2</v>
      </c>
      <c r="M115" s="93">
        <f t="shared" si="103"/>
        <v>11.491999999999999</v>
      </c>
      <c r="N115" s="23">
        <f t="shared" si="104"/>
        <v>203.87619199999995</v>
      </c>
      <c r="O115" s="99"/>
      <c r="P115" s="99"/>
      <c r="Q115" s="99"/>
      <c r="R115" s="8">
        <f>N115*0.6</f>
        <v>122.32571519999996</v>
      </c>
      <c r="S115" s="8">
        <f>N115*0.4</f>
        <v>81.550476799999984</v>
      </c>
      <c r="T115" s="8"/>
      <c r="U115" s="8"/>
      <c r="V115" s="99"/>
      <c r="W115" s="8"/>
      <c r="X115" s="99" t="s">
        <v>236</v>
      </c>
      <c r="Y115" s="61">
        <f t="shared" si="105"/>
        <v>0</v>
      </c>
      <c r="Z115" s="110" t="str">
        <f>'CORE  2019'!W107</f>
        <v>y</v>
      </c>
    </row>
    <row r="116" spans="1:26">
      <c r="A116" t="str">
        <f>'CORE  2019'!B108</f>
        <v>131.04.01.06</v>
      </c>
      <c r="B116" t="str">
        <f>'CORE  2019'!C108</f>
        <v>Installation Tools</v>
      </c>
      <c r="C116" s="110">
        <f>'CORE  2019'!D108</f>
        <v>1</v>
      </c>
      <c r="D116" t="str">
        <f>'CORE  2019'!E108</f>
        <v>basic clean room structure(doors)</v>
      </c>
      <c r="E116" s="108">
        <f>'CORE  2019'!J108</f>
        <v>10.14</v>
      </c>
      <c r="F116" s="94">
        <f t="shared" si="96"/>
        <v>0.2</v>
      </c>
      <c r="G116" s="93">
        <f t="shared" si="97"/>
        <v>2.028</v>
      </c>
      <c r="H116" s="94">
        <f t="shared" si="98"/>
        <v>0.12</v>
      </c>
      <c r="I116" s="93">
        <f t="shared" si="99"/>
        <v>1.2168000000000001</v>
      </c>
      <c r="J116" s="95">
        <f t="shared" si="100"/>
        <v>7.8E-2</v>
      </c>
      <c r="K116" s="93">
        <f t="shared" si="101"/>
        <v>1.0440144000000002</v>
      </c>
      <c r="L116" s="95">
        <f t="shared" si="102"/>
        <v>8.5000000000000006E-2</v>
      </c>
      <c r="M116" s="93">
        <f t="shared" si="103"/>
        <v>0.86190000000000011</v>
      </c>
      <c r="N116" s="23">
        <f t="shared" si="104"/>
        <v>15.290714400000002</v>
      </c>
      <c r="O116" s="99"/>
      <c r="P116" s="99"/>
      <c r="Q116" s="99"/>
      <c r="R116" s="8">
        <f>N116*0.6</f>
        <v>9.1744286400000004</v>
      </c>
      <c r="S116" s="8">
        <f>N116*0.4</f>
        <v>6.1162857600000011</v>
      </c>
      <c r="T116" s="8"/>
      <c r="U116" s="8"/>
      <c r="V116" s="99"/>
      <c r="W116" s="8"/>
      <c r="X116" s="99" t="s">
        <v>236</v>
      </c>
      <c r="Y116" s="61">
        <f t="shared" si="105"/>
        <v>0</v>
      </c>
      <c r="Z116" s="110" t="str">
        <f>'CORE  2019'!W108</f>
        <v>y</v>
      </c>
    </row>
    <row r="117" spans="1:26">
      <c r="A117" t="str">
        <f>'CORE  2019'!B109</f>
        <v>131.04.01.06</v>
      </c>
      <c r="B117" t="str">
        <f>'CORE  2019'!C109</f>
        <v>Installation Tools</v>
      </c>
      <c r="C117" s="110">
        <f>'CORE  2019'!D109</f>
        <v>1</v>
      </c>
      <c r="D117" t="str">
        <f>'CORE  2019'!E109</f>
        <v>clean room infrastructure</v>
      </c>
      <c r="E117" s="108">
        <f>'CORE  2019'!J109</f>
        <v>490.4393</v>
      </c>
      <c r="F117" s="94">
        <f t="shared" si="96"/>
        <v>0.2</v>
      </c>
      <c r="G117" s="93">
        <f t="shared" si="97"/>
        <v>98.087860000000006</v>
      </c>
      <c r="H117" s="94">
        <f t="shared" si="98"/>
        <v>0.12</v>
      </c>
      <c r="I117" s="93">
        <f t="shared" si="99"/>
        <v>58.852716000000001</v>
      </c>
      <c r="J117" s="95">
        <f t="shared" si="100"/>
        <v>7.8E-2</v>
      </c>
      <c r="K117" s="93">
        <f t="shared" si="101"/>
        <v>50.495630327999997</v>
      </c>
      <c r="L117" s="95">
        <f t="shared" si="102"/>
        <v>8.5000000000000006E-2</v>
      </c>
      <c r="M117" s="93">
        <f t="shared" si="103"/>
        <v>41.687340500000005</v>
      </c>
      <c r="N117" s="23">
        <f t="shared" si="104"/>
        <v>739.56284682799992</v>
      </c>
      <c r="O117" s="99"/>
      <c r="P117" s="99"/>
      <c r="Q117" s="99"/>
      <c r="R117" s="8">
        <f>N117*0.6</f>
        <v>443.73770809679996</v>
      </c>
      <c r="S117" s="8">
        <f>N117*0.4</f>
        <v>295.82513873119996</v>
      </c>
      <c r="T117" s="8"/>
      <c r="U117" s="8"/>
      <c r="V117" s="99"/>
      <c r="W117" s="8"/>
      <c r="X117" s="99" t="s">
        <v>236</v>
      </c>
      <c r="Y117" s="61">
        <f t="shared" si="105"/>
        <v>0</v>
      </c>
      <c r="Z117" s="110" t="str">
        <f>'CORE  2019'!W109</f>
        <v>y</v>
      </c>
    </row>
    <row r="118" spans="1:26">
      <c r="A118" t="str">
        <f>'CORE  2019'!B110</f>
        <v>131.04.01.06</v>
      </c>
      <c r="B118" t="str">
        <f>'CORE  2019'!C110</f>
        <v>Installation Tools</v>
      </c>
      <c r="C118" s="110">
        <f>'CORE  2019'!D110</f>
        <v>1</v>
      </c>
      <c r="D118" t="str">
        <f>'CORE  2019'!E110</f>
        <v>large platforms</v>
      </c>
      <c r="E118" s="108">
        <f>'CORE  2019'!J110</f>
        <v>81.77</v>
      </c>
      <c r="F118" s="94">
        <f t="shared" si="96"/>
        <v>0.2</v>
      </c>
      <c r="G118" s="93">
        <f t="shared" si="97"/>
        <v>16.353999999999999</v>
      </c>
      <c r="H118" s="94">
        <f t="shared" si="98"/>
        <v>0.12</v>
      </c>
      <c r="I118" s="93">
        <f t="shared" si="99"/>
        <v>9.8123999999999985</v>
      </c>
      <c r="J118" s="95">
        <f t="shared" si="100"/>
        <v>7.8E-2</v>
      </c>
      <c r="K118" s="93">
        <f t="shared" si="101"/>
        <v>8.4190391999999985</v>
      </c>
      <c r="L118" s="95">
        <f t="shared" si="102"/>
        <v>8.5000000000000006E-2</v>
      </c>
      <c r="M118" s="93">
        <f t="shared" si="103"/>
        <v>6.95045</v>
      </c>
      <c r="N118" s="23">
        <f t="shared" si="104"/>
        <v>123.3058892</v>
      </c>
      <c r="O118" s="99"/>
      <c r="P118" s="99"/>
      <c r="Q118" s="99"/>
      <c r="R118" s="8">
        <f>N118*0.6</f>
        <v>73.983533519999995</v>
      </c>
      <c r="S118" s="8">
        <f>N118*0.4</f>
        <v>49.322355680000001</v>
      </c>
      <c r="T118" s="8"/>
      <c r="U118" s="8"/>
      <c r="V118" s="99"/>
      <c r="W118" s="8"/>
      <c r="X118" s="99" t="s">
        <v>236</v>
      </c>
      <c r="Y118" s="61">
        <f t="shared" si="105"/>
        <v>0</v>
      </c>
      <c r="Z118" s="110" t="str">
        <f>'CORE  2019'!W110</f>
        <v>y</v>
      </c>
    </row>
    <row r="119" spans="1:26">
      <c r="A119" t="str">
        <f>'CORE  2019'!B111</f>
        <v>131.04.01.07</v>
      </c>
      <c r="B119" t="str">
        <f>'CORE  2019'!C111</f>
        <v>Installation Tools</v>
      </c>
      <c r="C119" s="110">
        <f>'CORE  2019'!D111</f>
        <v>1</v>
      </c>
      <c r="D119" t="str">
        <f>'CORE  2019'!E111</f>
        <v>personnel SAS outfitting</v>
      </c>
      <c r="E119" s="108">
        <f>'CORE  2019'!J111</f>
        <v>52.997999999999998</v>
      </c>
      <c r="F119" s="94">
        <f t="shared" si="96"/>
        <v>0.2</v>
      </c>
      <c r="G119" s="93">
        <f t="shared" si="97"/>
        <v>10.599600000000001</v>
      </c>
      <c r="H119" s="94">
        <f t="shared" si="98"/>
        <v>0.12</v>
      </c>
      <c r="I119" s="93">
        <f t="shared" si="99"/>
        <v>6.3597599999999996</v>
      </c>
      <c r="J119" s="95">
        <f t="shared" si="100"/>
        <v>7.8E-2</v>
      </c>
      <c r="K119" s="93">
        <f t="shared" si="101"/>
        <v>5.45667408</v>
      </c>
      <c r="L119" s="95">
        <f t="shared" si="102"/>
        <v>8.5000000000000006E-2</v>
      </c>
      <c r="M119" s="93">
        <f t="shared" si="103"/>
        <v>4.5048300000000001</v>
      </c>
      <c r="N119" s="23">
        <f t="shared" si="104"/>
        <v>79.918864079999992</v>
      </c>
      <c r="O119" s="99"/>
      <c r="P119" s="99"/>
      <c r="Q119" s="99"/>
      <c r="R119" s="8">
        <f>N119</f>
        <v>79.918864079999992</v>
      </c>
      <c r="S119" s="8"/>
      <c r="T119" s="8"/>
      <c r="U119" s="8"/>
      <c r="V119" s="99"/>
      <c r="W119" s="8"/>
      <c r="X119" s="99" t="s">
        <v>236</v>
      </c>
      <c r="Y119" s="61">
        <f t="shared" si="105"/>
        <v>0</v>
      </c>
      <c r="Z119" s="110" t="str">
        <f>'CORE  2019'!W111</f>
        <v>y</v>
      </c>
    </row>
    <row r="120" spans="1:26">
      <c r="A120" t="str">
        <f>'CORE  2019'!B112</f>
        <v>131.04.01.06</v>
      </c>
      <c r="B120" t="str">
        <f>'CORE  2019'!C112</f>
        <v>Installation Tools</v>
      </c>
      <c r="C120" s="110">
        <f>'CORE  2019'!D112</f>
        <v>1</v>
      </c>
      <c r="D120" t="str">
        <f>'CORE  2019'!E112</f>
        <v>internal bridge crane</v>
      </c>
      <c r="E120" s="108">
        <f>'CORE  2019'!J112</f>
        <v>89.7</v>
      </c>
      <c r="F120" s="94">
        <f t="shared" si="96"/>
        <v>0.2</v>
      </c>
      <c r="G120" s="93">
        <f t="shared" si="97"/>
        <v>17.940000000000001</v>
      </c>
      <c r="H120" s="94">
        <f t="shared" si="98"/>
        <v>0.12</v>
      </c>
      <c r="I120" s="93">
        <f t="shared" si="99"/>
        <v>10.763999999999999</v>
      </c>
      <c r="J120" s="95">
        <f t="shared" si="100"/>
        <v>7.8E-2</v>
      </c>
      <c r="K120" s="93">
        <f t="shared" si="101"/>
        <v>9.2355119999999999</v>
      </c>
      <c r="L120" s="95">
        <f t="shared" si="102"/>
        <v>8.5000000000000006E-2</v>
      </c>
      <c r="M120" s="93">
        <f t="shared" si="103"/>
        <v>7.6245000000000012</v>
      </c>
      <c r="N120" s="23">
        <f t="shared" si="104"/>
        <v>135.26401200000001</v>
      </c>
      <c r="O120" s="99"/>
      <c r="P120" s="99"/>
      <c r="Q120" s="99"/>
      <c r="R120" s="8">
        <f>N120*0.6</f>
        <v>81.158407199999999</v>
      </c>
      <c r="S120" s="8">
        <f>N120*0.4</f>
        <v>54.105604800000009</v>
      </c>
      <c r="T120" s="8"/>
      <c r="U120" s="8"/>
      <c r="V120" s="99"/>
      <c r="W120" s="8"/>
      <c r="X120" s="99" t="s">
        <v>236</v>
      </c>
      <c r="Y120" s="61">
        <f t="shared" si="105"/>
        <v>0</v>
      </c>
      <c r="Z120" s="110" t="str">
        <f>'CORE  2019'!W112</f>
        <v>y</v>
      </c>
    </row>
    <row r="121" spans="1:26">
      <c r="A121" t="str">
        <f>'CORE  2019'!B113</f>
        <v>131.04.01.06</v>
      </c>
      <c r="B121" t="str">
        <f>'CORE  2019'!C113</f>
        <v>Installation Tools</v>
      </c>
      <c r="C121" s="110">
        <f>'CORE  2019'!D113</f>
        <v>1</v>
      </c>
      <c r="D121" t="str">
        <f>'CORE  2019'!E113</f>
        <v>external rails (DSS type) + fixations</v>
      </c>
      <c r="E121" s="108">
        <f>'CORE  2019'!J113</f>
        <v>22.684999999999999</v>
      </c>
      <c r="F121" s="94">
        <f t="shared" si="96"/>
        <v>0.2</v>
      </c>
      <c r="G121" s="93">
        <f t="shared" si="97"/>
        <v>4.5369999999999999</v>
      </c>
      <c r="H121" s="94">
        <f t="shared" si="98"/>
        <v>0.12</v>
      </c>
      <c r="I121" s="93">
        <f t="shared" si="99"/>
        <v>2.7222</v>
      </c>
      <c r="J121" s="95">
        <f t="shared" si="100"/>
        <v>7.8E-2</v>
      </c>
      <c r="K121" s="93">
        <f t="shared" si="101"/>
        <v>2.3356475999999997</v>
      </c>
      <c r="L121" s="95">
        <f t="shared" si="102"/>
        <v>8.5000000000000006E-2</v>
      </c>
      <c r="M121" s="93">
        <f t="shared" si="103"/>
        <v>1.9282250000000001</v>
      </c>
      <c r="N121" s="23">
        <f t="shared" si="104"/>
        <v>34.208072599999994</v>
      </c>
      <c r="O121" s="99"/>
      <c r="P121" s="99"/>
      <c r="Q121" s="99"/>
      <c r="R121" s="8">
        <f>N121*0.6</f>
        <v>20.524843559999997</v>
      </c>
      <c r="S121" s="8">
        <f>N121*0.4</f>
        <v>13.683229039999999</v>
      </c>
      <c r="T121" s="8"/>
      <c r="U121" s="8"/>
      <c r="V121" s="99"/>
      <c r="W121" s="8"/>
      <c r="X121" s="99" t="s">
        <v>236</v>
      </c>
      <c r="Y121" s="61">
        <f t="shared" si="105"/>
        <v>0</v>
      </c>
      <c r="Z121" s="110" t="str">
        <f>'CORE  2019'!W113</f>
        <v>y</v>
      </c>
    </row>
    <row r="122" spans="1:26">
      <c r="A122" t="str">
        <f>'CORE  2019'!B114</f>
        <v>131.04.01.07</v>
      </c>
      <c r="B122" t="str">
        <f>'CORE  2019'!C114</f>
        <v>Installation Tools</v>
      </c>
      <c r="C122" s="110">
        <f>'CORE  2019'!D114</f>
        <v>1</v>
      </c>
      <c r="D122" t="str">
        <f>'CORE  2019'!E114</f>
        <v>Cold box access lift</v>
      </c>
      <c r="E122" s="108">
        <f>'CORE  2019'!J114</f>
        <v>72.838999999999999</v>
      </c>
      <c r="F122" s="94">
        <f t="shared" si="96"/>
        <v>0.2</v>
      </c>
      <c r="G122" s="93">
        <f t="shared" si="97"/>
        <v>14.5678</v>
      </c>
      <c r="H122" s="94">
        <f t="shared" si="98"/>
        <v>0.12</v>
      </c>
      <c r="I122" s="93">
        <f t="shared" si="99"/>
        <v>8.7406799999999993</v>
      </c>
      <c r="J122" s="95">
        <f t="shared" si="100"/>
        <v>7.8E-2</v>
      </c>
      <c r="K122" s="93">
        <f t="shared" si="101"/>
        <v>7.4995034399999998</v>
      </c>
      <c r="L122" s="95">
        <f t="shared" si="102"/>
        <v>8.5000000000000006E-2</v>
      </c>
      <c r="M122" s="93">
        <f t="shared" si="103"/>
        <v>6.1913150000000003</v>
      </c>
      <c r="N122" s="23">
        <f t="shared" si="104"/>
        <v>109.83829844</v>
      </c>
      <c r="O122" s="99"/>
      <c r="P122" s="99"/>
      <c r="Q122" s="99"/>
      <c r="R122" s="8">
        <f>N122</f>
        <v>109.83829844</v>
      </c>
      <c r="S122" s="8"/>
      <c r="T122" s="8"/>
      <c r="U122" s="8"/>
      <c r="V122" s="99"/>
      <c r="W122" s="8"/>
      <c r="X122" s="99" t="s">
        <v>236</v>
      </c>
      <c r="Y122" s="61">
        <f t="shared" si="105"/>
        <v>0</v>
      </c>
      <c r="Z122" s="110" t="str">
        <f>'CORE  2019'!W114</f>
        <v>y</v>
      </c>
    </row>
    <row r="123" spans="1:26">
      <c r="A123" t="str">
        <f>'CORE  2019'!B115</f>
        <v>131.04.01.06</v>
      </c>
      <c r="B123" t="str">
        <f>'CORE  2019'!C115</f>
        <v>Installation Tools</v>
      </c>
      <c r="C123" s="110">
        <f>'CORE  2019'!D115</f>
        <v>1</v>
      </c>
      <c r="D123" t="str">
        <f>'CORE  2019'!E115</f>
        <v>ventilation system top man holes</v>
      </c>
      <c r="E123" s="108">
        <f>'CORE  2019'!J115</f>
        <v>54.34</v>
      </c>
      <c r="F123" s="94">
        <f t="shared" si="96"/>
        <v>0.2</v>
      </c>
      <c r="G123" s="93">
        <f t="shared" si="97"/>
        <v>10.868000000000002</v>
      </c>
      <c r="H123" s="94">
        <f t="shared" si="98"/>
        <v>0.12</v>
      </c>
      <c r="I123" s="93">
        <f t="shared" si="99"/>
        <v>6.5208000000000004</v>
      </c>
      <c r="J123" s="95">
        <f t="shared" si="100"/>
        <v>7.8E-2</v>
      </c>
      <c r="K123" s="93">
        <f t="shared" si="101"/>
        <v>5.5948463999999998</v>
      </c>
      <c r="L123" s="95">
        <f t="shared" si="102"/>
        <v>8.5000000000000006E-2</v>
      </c>
      <c r="M123" s="93">
        <f t="shared" si="103"/>
        <v>4.6189000000000009</v>
      </c>
      <c r="N123" s="23">
        <f t="shared" si="104"/>
        <v>81.942546399999983</v>
      </c>
      <c r="O123" s="99"/>
      <c r="P123" s="99"/>
      <c r="Q123" s="99"/>
      <c r="R123" s="8">
        <f>N123</f>
        <v>81.942546399999983</v>
      </c>
      <c r="S123" s="8"/>
      <c r="T123" s="8"/>
      <c r="U123" s="8"/>
      <c r="V123" s="99"/>
      <c r="W123" s="8"/>
      <c r="X123" s="99" t="s">
        <v>236</v>
      </c>
      <c r="Y123" s="61">
        <f t="shared" si="105"/>
        <v>0</v>
      </c>
      <c r="Z123" s="110" t="str">
        <f>'CORE  2019'!W115</f>
        <v>y</v>
      </c>
    </row>
    <row r="124" spans="1:26">
      <c r="A124" t="str">
        <f>'CORE  2019'!B116</f>
        <v>131.04.01.07</v>
      </c>
      <c r="B124" t="str">
        <f>'CORE  2019'!C116</f>
        <v>Installation Tools</v>
      </c>
      <c r="C124" s="110">
        <f>'CORE  2019'!D116</f>
        <v>1</v>
      </c>
      <c r="D124" t="str">
        <f>'CORE  2019'!E116</f>
        <v>cold boxes</v>
      </c>
      <c r="E124" s="108">
        <f>'CORE  2019'!J116</f>
        <v>690.3</v>
      </c>
      <c r="F124" s="94">
        <f t="shared" si="96"/>
        <v>0.2</v>
      </c>
      <c r="G124" s="93">
        <f t="shared" si="97"/>
        <v>138.06</v>
      </c>
      <c r="H124" s="94">
        <f t="shared" si="98"/>
        <v>0.12</v>
      </c>
      <c r="I124" s="93">
        <f t="shared" si="99"/>
        <v>82.835999999999999</v>
      </c>
      <c r="J124" s="95">
        <f t="shared" si="100"/>
        <v>7.8E-2</v>
      </c>
      <c r="K124" s="93">
        <f t="shared" si="101"/>
        <v>71.073287999999991</v>
      </c>
      <c r="L124" s="95">
        <f t="shared" si="102"/>
        <v>8.5000000000000006E-2</v>
      </c>
      <c r="M124" s="93">
        <f t="shared" si="103"/>
        <v>58.6755</v>
      </c>
      <c r="N124" s="23">
        <f t="shared" si="104"/>
        <v>1040.944788</v>
      </c>
      <c r="O124" s="99"/>
      <c r="P124" s="99"/>
      <c r="Q124" s="99"/>
      <c r="R124" s="8">
        <f t="shared" ref="R124:R130" si="106">N124*0.6</f>
        <v>624.56687279999994</v>
      </c>
      <c r="S124" s="8">
        <f t="shared" ref="S124:S130" si="107">N124*0.4</f>
        <v>416.37791520000002</v>
      </c>
      <c r="T124" s="8"/>
      <c r="U124" s="8"/>
      <c r="V124" s="99"/>
      <c r="W124" s="8"/>
      <c r="X124" s="99" t="s">
        <v>236</v>
      </c>
      <c r="Y124" s="61">
        <f t="shared" si="105"/>
        <v>0</v>
      </c>
      <c r="Z124" s="110" t="str">
        <f>'CORE  2019'!W116</f>
        <v>y</v>
      </c>
    </row>
    <row r="125" spans="1:26">
      <c r="A125" t="str">
        <f>'CORE  2019'!B117</f>
        <v>131.04.01.07</v>
      </c>
      <c r="B125" t="str">
        <f>'CORE  2019'!C117</f>
        <v>Installation Tools</v>
      </c>
      <c r="C125" s="110">
        <f>'CORE  2019'!D117</f>
        <v>1</v>
      </c>
      <c r="D125" t="str">
        <f>'CORE  2019'!E117</f>
        <v>N2 system for cold boxes</v>
      </c>
      <c r="E125" s="108">
        <f>'CORE  2019'!J117</f>
        <v>1106</v>
      </c>
      <c r="F125" s="94">
        <f t="shared" si="96"/>
        <v>0.2</v>
      </c>
      <c r="G125" s="93">
        <f t="shared" si="97"/>
        <v>221.20000000000002</v>
      </c>
      <c r="H125" s="94">
        <f t="shared" si="98"/>
        <v>0.12</v>
      </c>
      <c r="I125" s="93">
        <f t="shared" si="99"/>
        <v>132.72</v>
      </c>
      <c r="J125" s="95">
        <f t="shared" si="100"/>
        <v>7.8E-2</v>
      </c>
      <c r="K125" s="93">
        <f t="shared" si="101"/>
        <v>113.87376</v>
      </c>
      <c r="L125" s="95">
        <f t="shared" si="102"/>
        <v>8.5000000000000006E-2</v>
      </c>
      <c r="M125" s="93">
        <f t="shared" si="103"/>
        <v>94.01</v>
      </c>
      <c r="N125" s="23">
        <f t="shared" si="104"/>
        <v>1667.80376</v>
      </c>
      <c r="O125" s="99"/>
      <c r="P125" s="99"/>
      <c r="Q125" s="99"/>
      <c r="R125" s="8">
        <f t="shared" si="106"/>
        <v>1000.6822559999999</v>
      </c>
      <c r="S125" s="8">
        <f t="shared" si="107"/>
        <v>667.12150400000007</v>
      </c>
      <c r="T125" s="8"/>
      <c r="U125" s="8"/>
      <c r="V125" s="99"/>
      <c r="W125" s="8"/>
      <c r="X125" s="99" t="s">
        <v>236</v>
      </c>
      <c r="Y125" s="61">
        <f t="shared" si="105"/>
        <v>0</v>
      </c>
      <c r="Z125" s="110" t="str">
        <f>'CORE  2019'!W117</f>
        <v>y</v>
      </c>
    </row>
    <row r="126" spans="1:26">
      <c r="A126" t="str">
        <f>'CORE  2019'!B118</f>
        <v>131.04.01.07</v>
      </c>
      <c r="B126" t="str">
        <f>'CORE  2019'!C118</f>
        <v>Installation Tools</v>
      </c>
      <c r="C126" s="110">
        <f>'CORE  2019'!D118</f>
        <v>1</v>
      </c>
      <c r="D126" t="str">
        <f>'CORE  2019'!E118</f>
        <v>CPA assembly tower/frame</v>
      </c>
      <c r="E126" s="108">
        <f>'CORE  2019'!J118</f>
        <v>52</v>
      </c>
      <c r="F126" s="94">
        <f t="shared" si="96"/>
        <v>0.2</v>
      </c>
      <c r="G126" s="93">
        <f t="shared" si="97"/>
        <v>10.4</v>
      </c>
      <c r="H126" s="94">
        <f t="shared" si="98"/>
        <v>0.12</v>
      </c>
      <c r="I126" s="93">
        <f t="shared" si="99"/>
        <v>6.24</v>
      </c>
      <c r="J126" s="95">
        <f t="shared" si="100"/>
        <v>7.8E-2</v>
      </c>
      <c r="K126" s="93">
        <f t="shared" si="101"/>
        <v>5.3539200000000005</v>
      </c>
      <c r="L126" s="95">
        <f t="shared" si="102"/>
        <v>8.5000000000000006E-2</v>
      </c>
      <c r="M126" s="93">
        <f t="shared" si="103"/>
        <v>4.42</v>
      </c>
      <c r="N126" s="23">
        <f t="shared" si="104"/>
        <v>78.413920000000005</v>
      </c>
      <c r="O126" s="99"/>
      <c r="P126" s="99"/>
      <c r="Q126" s="99"/>
      <c r="R126" s="8">
        <f t="shared" si="106"/>
        <v>47.048352000000001</v>
      </c>
      <c r="S126" s="8">
        <f t="shared" si="107"/>
        <v>31.365568000000003</v>
      </c>
      <c r="T126" s="8"/>
      <c r="U126" s="8"/>
      <c r="V126" s="99"/>
      <c r="W126" s="8"/>
      <c r="X126" s="99" t="s">
        <v>236</v>
      </c>
      <c r="Y126" s="61">
        <f t="shared" si="105"/>
        <v>0</v>
      </c>
      <c r="Z126" s="110" t="str">
        <f>'CORE  2019'!W118</f>
        <v>y</v>
      </c>
    </row>
    <row r="127" spans="1:26">
      <c r="A127" t="str">
        <f>'CORE  2019'!B119</f>
        <v>131.04.01.07</v>
      </c>
      <c r="B127" t="str">
        <f>'CORE  2019'!C119</f>
        <v>Installation Tools</v>
      </c>
      <c r="C127" s="110">
        <f>'CORE  2019'!D119</f>
        <v>1</v>
      </c>
      <c r="D127" t="str">
        <f>'CORE  2019'!E119</f>
        <v>APA cable installation infrastructure</v>
      </c>
      <c r="E127" s="108">
        <f>'CORE  2019'!J119</f>
        <v>42.788200000000003</v>
      </c>
      <c r="F127" s="94">
        <f t="shared" si="96"/>
        <v>0.2</v>
      </c>
      <c r="G127" s="93">
        <f t="shared" si="97"/>
        <v>8.557640000000001</v>
      </c>
      <c r="H127" s="94">
        <f t="shared" si="98"/>
        <v>0.12</v>
      </c>
      <c r="I127" s="93">
        <f t="shared" si="99"/>
        <v>5.1345840000000003</v>
      </c>
      <c r="J127" s="95">
        <f t="shared" si="100"/>
        <v>7.8E-2</v>
      </c>
      <c r="K127" s="93">
        <f t="shared" si="101"/>
        <v>4.4054730720000004</v>
      </c>
      <c r="L127" s="95">
        <f t="shared" si="102"/>
        <v>8.5000000000000006E-2</v>
      </c>
      <c r="M127" s="93">
        <f t="shared" si="103"/>
        <v>3.6369970000000005</v>
      </c>
      <c r="N127" s="23">
        <f t="shared" si="104"/>
        <v>64.522894072</v>
      </c>
      <c r="O127" s="99"/>
      <c r="P127" s="99"/>
      <c r="Q127" s="99"/>
      <c r="R127" s="8">
        <f t="shared" si="106"/>
        <v>38.713736443199998</v>
      </c>
      <c r="S127" s="8">
        <f t="shared" si="107"/>
        <v>25.809157628800001</v>
      </c>
      <c r="T127" s="8"/>
      <c r="U127" s="8"/>
      <c r="V127" s="99"/>
      <c r="W127" s="8"/>
      <c r="X127" s="99" t="s">
        <v>236</v>
      </c>
      <c r="Y127" s="61">
        <f t="shared" si="105"/>
        <v>0</v>
      </c>
      <c r="Z127" s="110" t="str">
        <f>'CORE  2019'!W119</f>
        <v>y</v>
      </c>
    </row>
    <row r="128" spans="1:26">
      <c r="A128" t="str">
        <f>'CORE  2019'!B120</f>
        <v>131.04.01.06</v>
      </c>
      <c r="B128" t="str">
        <f>'CORE  2019'!C120</f>
        <v>Installation Tools</v>
      </c>
      <c r="C128" s="110">
        <f>'CORE  2019'!D120</f>
        <v>1</v>
      </c>
      <c r="D128" t="str">
        <f>'CORE  2019'!E120</f>
        <v>cryostat lights+filters</v>
      </c>
      <c r="E128" s="108">
        <f>'CORE  2019'!J120</f>
        <v>29.324100000000001</v>
      </c>
      <c r="F128" s="94">
        <f t="shared" si="96"/>
        <v>0.2</v>
      </c>
      <c r="G128" s="93">
        <f t="shared" si="97"/>
        <v>5.8648200000000008</v>
      </c>
      <c r="H128" s="94">
        <f t="shared" si="98"/>
        <v>0.12</v>
      </c>
      <c r="I128" s="93">
        <f t="shared" si="99"/>
        <v>3.5188920000000001</v>
      </c>
      <c r="J128" s="95">
        <f t="shared" si="100"/>
        <v>7.8E-2</v>
      </c>
      <c r="K128" s="93">
        <f t="shared" si="101"/>
        <v>3.0192093360000003</v>
      </c>
      <c r="L128" s="95">
        <f t="shared" si="102"/>
        <v>8.5000000000000006E-2</v>
      </c>
      <c r="M128" s="93">
        <f t="shared" si="103"/>
        <v>2.4925485000000003</v>
      </c>
      <c r="N128" s="23">
        <f t="shared" si="104"/>
        <v>44.219569836000005</v>
      </c>
      <c r="O128" s="99"/>
      <c r="P128" s="99"/>
      <c r="Q128" s="99"/>
      <c r="R128" s="8">
        <f t="shared" si="106"/>
        <v>26.531741901600004</v>
      </c>
      <c r="S128" s="8">
        <f t="shared" si="107"/>
        <v>17.687827934400001</v>
      </c>
      <c r="T128" s="8"/>
      <c r="U128" s="8"/>
      <c r="V128" s="99"/>
      <c r="W128" s="8"/>
      <c r="X128" s="99" t="s">
        <v>236</v>
      </c>
      <c r="Y128" s="61">
        <f t="shared" si="105"/>
        <v>0</v>
      </c>
      <c r="Z128" s="110" t="str">
        <f>'CORE  2019'!W120</f>
        <v>y</v>
      </c>
    </row>
    <row r="129" spans="1:26">
      <c r="A129" t="str">
        <f>'CORE  2019'!B121</f>
        <v>131.04.01.06</v>
      </c>
      <c r="B129" t="str">
        <f>'CORE  2019'!C121</f>
        <v>Installation Tools</v>
      </c>
      <c r="C129" s="110">
        <f>'CORE  2019'!D121</f>
        <v>1</v>
      </c>
      <c r="D129" t="str">
        <f>'CORE  2019'!E121</f>
        <v>temporary power distribution</v>
      </c>
      <c r="E129" s="108">
        <f>'CORE  2019'!J121</f>
        <v>34.803599999999996</v>
      </c>
      <c r="F129" s="94">
        <f t="shared" si="96"/>
        <v>0.2</v>
      </c>
      <c r="G129" s="93">
        <f t="shared" si="97"/>
        <v>6.9607199999999994</v>
      </c>
      <c r="H129" s="94">
        <f t="shared" si="98"/>
        <v>0.12</v>
      </c>
      <c r="I129" s="93">
        <f t="shared" si="99"/>
        <v>4.1764319999999993</v>
      </c>
      <c r="J129" s="95">
        <f t="shared" si="100"/>
        <v>7.8E-2</v>
      </c>
      <c r="K129" s="93">
        <f t="shared" si="101"/>
        <v>3.5833786559999998</v>
      </c>
      <c r="L129" s="95">
        <f t="shared" si="102"/>
        <v>8.5000000000000006E-2</v>
      </c>
      <c r="M129" s="93">
        <f t="shared" si="103"/>
        <v>2.9583059999999999</v>
      </c>
      <c r="N129" s="23">
        <f t="shared" si="104"/>
        <v>52.482436655999997</v>
      </c>
      <c r="O129" s="99"/>
      <c r="P129" s="99"/>
      <c r="Q129" s="99"/>
      <c r="R129" s="8">
        <f t="shared" si="106"/>
        <v>31.489461993599996</v>
      </c>
      <c r="S129" s="8">
        <f t="shared" si="107"/>
        <v>20.992974662400002</v>
      </c>
      <c r="T129" s="8"/>
      <c r="U129" s="8"/>
      <c r="V129" s="99"/>
      <c r="W129" s="8"/>
      <c r="X129" s="99" t="s">
        <v>236</v>
      </c>
      <c r="Y129" s="61">
        <f t="shared" si="105"/>
        <v>0</v>
      </c>
      <c r="Z129" s="110" t="str">
        <f>'CORE  2019'!W121</f>
        <v>y</v>
      </c>
    </row>
    <row r="130" spans="1:26">
      <c r="A130" t="str">
        <f>'CORE  2019'!B122</f>
        <v>131.04.01.07</v>
      </c>
      <c r="B130" t="str">
        <f>'CORE  2019'!C122</f>
        <v>Installation Tools</v>
      </c>
      <c r="C130" s="110">
        <f>'CORE  2019'!D122</f>
        <v>1</v>
      </c>
      <c r="D130" t="str">
        <f>'CORE  2019'!E122</f>
        <v>various mech.  tools</v>
      </c>
      <c r="E130" s="108">
        <f>'CORE  2019'!J122</f>
        <v>114.7042</v>
      </c>
      <c r="F130" s="94">
        <f t="shared" si="96"/>
        <v>0.2</v>
      </c>
      <c r="G130" s="93">
        <f t="shared" si="97"/>
        <v>22.940840000000001</v>
      </c>
      <c r="H130" s="94">
        <f t="shared" si="98"/>
        <v>0.12</v>
      </c>
      <c r="I130" s="93">
        <f t="shared" si="99"/>
        <v>13.764503999999999</v>
      </c>
      <c r="J130" s="95">
        <f t="shared" si="100"/>
        <v>7.8E-2</v>
      </c>
      <c r="K130" s="93">
        <f t="shared" si="101"/>
        <v>11.809944431999998</v>
      </c>
      <c r="L130" s="95">
        <f t="shared" si="102"/>
        <v>8.5000000000000006E-2</v>
      </c>
      <c r="M130" s="93">
        <f t="shared" si="103"/>
        <v>9.7498570000000004</v>
      </c>
      <c r="N130" s="23">
        <f t="shared" si="104"/>
        <v>172.96934543199998</v>
      </c>
      <c r="O130" s="99"/>
      <c r="P130" s="99"/>
      <c r="Q130" s="99"/>
      <c r="R130" s="8">
        <f t="shared" si="106"/>
        <v>103.78160725919999</v>
      </c>
      <c r="S130" s="8">
        <f t="shared" si="107"/>
        <v>69.187738172799996</v>
      </c>
      <c r="T130" s="8"/>
      <c r="U130" s="8"/>
      <c r="V130" s="99"/>
      <c r="W130" s="8"/>
      <c r="X130" s="99" t="s">
        <v>236</v>
      </c>
      <c r="Y130" s="61">
        <f t="shared" si="105"/>
        <v>0</v>
      </c>
      <c r="Z130" s="110" t="str">
        <f>'CORE  2019'!W122</f>
        <v>y</v>
      </c>
    </row>
    <row r="131" spans="1:26">
      <c r="A131" t="str">
        <f>'CORE  2019'!B123</f>
        <v>131.04.01.07</v>
      </c>
      <c r="B131" t="str">
        <f>'CORE  2019'!C123</f>
        <v>Installation Tools</v>
      </c>
      <c r="C131" s="110">
        <f>'CORE  2019'!D123</f>
        <v>1</v>
      </c>
      <c r="D131" t="str">
        <f>'CORE  2019'!E123</f>
        <v>Cleanroom safety tools (PPE,ODH, fire, …)</v>
      </c>
      <c r="E131" s="108">
        <f>'CORE  2019'!J123</f>
        <v>171.14500000000001</v>
      </c>
      <c r="F131" s="94">
        <f t="shared" si="96"/>
        <v>0.2</v>
      </c>
      <c r="G131" s="93">
        <f t="shared" si="97"/>
        <v>34.229000000000006</v>
      </c>
      <c r="H131" s="94">
        <f t="shared" si="98"/>
        <v>0.12</v>
      </c>
      <c r="I131" s="93">
        <f t="shared" si="99"/>
        <v>20.537400000000002</v>
      </c>
      <c r="J131" s="95">
        <f t="shared" si="100"/>
        <v>7.8E-2</v>
      </c>
      <c r="K131" s="93">
        <f t="shared" si="101"/>
        <v>17.6210892</v>
      </c>
      <c r="L131" s="95">
        <f t="shared" si="102"/>
        <v>8.5000000000000006E-2</v>
      </c>
      <c r="M131" s="93">
        <f t="shared" si="103"/>
        <v>14.547325000000003</v>
      </c>
      <c r="N131" s="23">
        <f t="shared" si="104"/>
        <v>258.07981420000004</v>
      </c>
      <c r="O131" s="99"/>
      <c r="P131" s="99"/>
      <c r="Q131" s="99"/>
      <c r="R131" s="8"/>
      <c r="S131" s="8"/>
      <c r="T131" s="8">
        <f>N131*0.7</f>
        <v>180.65586994000003</v>
      </c>
      <c r="U131" s="8">
        <f>N131*0.3</f>
        <v>77.423944260000013</v>
      </c>
      <c r="V131" s="99"/>
      <c r="W131" s="8"/>
      <c r="X131" s="99" t="s">
        <v>236</v>
      </c>
      <c r="Y131" s="61">
        <f t="shared" si="105"/>
        <v>0</v>
      </c>
      <c r="Z131" s="110" t="str">
        <f>'CORE  2019'!W123</f>
        <v>y</v>
      </c>
    </row>
    <row r="132" spans="1:26">
      <c r="A132" t="str">
        <f>'CORE  2019'!B124</f>
        <v>131.04.01.07</v>
      </c>
      <c r="B132" t="str">
        <f>'CORE  2019'!C124</f>
        <v>Installation Tools</v>
      </c>
      <c r="C132" s="110">
        <f>'CORE  2019'!D124</f>
        <v>1</v>
      </c>
      <c r="D132" t="str">
        <f>'CORE  2019'!E124</f>
        <v>consumables, small items / 2 years 2 detectors</v>
      </c>
      <c r="E132" s="108">
        <f>'CORE  2019'!J124</f>
        <v>405.976</v>
      </c>
      <c r="F132" s="94">
        <f t="shared" si="96"/>
        <v>0.2</v>
      </c>
      <c r="G132" s="93">
        <f t="shared" si="97"/>
        <v>81.1952</v>
      </c>
      <c r="H132" s="94">
        <f t="shared" si="98"/>
        <v>0.12</v>
      </c>
      <c r="I132" s="93">
        <f t="shared" si="99"/>
        <v>48.717120000000001</v>
      </c>
      <c r="J132" s="95">
        <f t="shared" si="100"/>
        <v>7.8E-2</v>
      </c>
      <c r="K132" s="93">
        <f t="shared" si="101"/>
        <v>41.799288959999998</v>
      </c>
      <c r="L132" s="95">
        <f t="shared" si="102"/>
        <v>8.5000000000000006E-2</v>
      </c>
      <c r="M132" s="93">
        <f t="shared" si="103"/>
        <v>34.507960000000004</v>
      </c>
      <c r="N132" s="23">
        <f t="shared" si="104"/>
        <v>612.19556896000006</v>
      </c>
      <c r="O132" s="99"/>
      <c r="P132" s="99"/>
      <c r="Q132" s="99"/>
      <c r="R132" s="8"/>
      <c r="S132" s="8"/>
      <c r="T132" s="8">
        <f>N132*0.25</f>
        <v>153.04889224000001</v>
      </c>
      <c r="U132" s="8">
        <f>N132*0.25</f>
        <v>153.04889224000001</v>
      </c>
      <c r="V132" s="99">
        <f>N132*0.25</f>
        <v>153.04889224000001</v>
      </c>
      <c r="W132" s="8">
        <f>N132*0.25</f>
        <v>153.04889224000001</v>
      </c>
      <c r="X132" s="99" t="s">
        <v>236</v>
      </c>
      <c r="Y132" s="61">
        <f t="shared" si="105"/>
        <v>0</v>
      </c>
      <c r="Z132" s="110" t="str">
        <f>'CORE  2019'!W124</f>
        <v>y</v>
      </c>
    </row>
    <row r="133" spans="1:26">
      <c r="A133" t="str">
        <f>'CORE  2019'!B125</f>
        <v>131.04.01.07</v>
      </c>
      <c r="B133" t="str">
        <f>'CORE  2019'!C125</f>
        <v>Installation Tools</v>
      </c>
      <c r="C133" s="110">
        <f>'CORE  2019'!D125</f>
        <v>1</v>
      </c>
      <c r="D133" t="str">
        <f>'CORE  2019'!E125</f>
        <v>clean room initial cleaning</v>
      </c>
      <c r="E133" s="108">
        <f>'CORE  2019'!J125</f>
        <v>145.6</v>
      </c>
      <c r="F133" s="94">
        <f t="shared" si="96"/>
        <v>0.2</v>
      </c>
      <c r="G133" s="93">
        <f t="shared" si="97"/>
        <v>29.12</v>
      </c>
      <c r="H133" s="94">
        <f t="shared" si="98"/>
        <v>0.12</v>
      </c>
      <c r="I133" s="93">
        <f t="shared" si="99"/>
        <v>17.471999999999998</v>
      </c>
      <c r="J133" s="95">
        <f t="shared" si="100"/>
        <v>7.8E-2</v>
      </c>
      <c r="K133" s="93">
        <f t="shared" si="101"/>
        <v>14.990976</v>
      </c>
      <c r="L133" s="95">
        <f t="shared" si="102"/>
        <v>8.5000000000000006E-2</v>
      </c>
      <c r="M133" s="93">
        <f t="shared" si="103"/>
        <v>12.376000000000001</v>
      </c>
      <c r="N133" s="23">
        <f t="shared" si="104"/>
        <v>219.558976</v>
      </c>
      <c r="O133" s="99"/>
      <c r="P133" s="99"/>
      <c r="Q133" s="99"/>
      <c r="R133" s="8"/>
      <c r="S133" s="8"/>
      <c r="T133" s="8">
        <f>N133/2</f>
        <v>109.779488</v>
      </c>
      <c r="U133" s="99"/>
      <c r="V133" s="8">
        <f>N133/2</f>
        <v>109.779488</v>
      </c>
      <c r="W133" s="8" t="s">
        <v>0</v>
      </c>
      <c r="X133" s="99" t="s">
        <v>236</v>
      </c>
      <c r="Y133" s="61">
        <f t="shared" si="105"/>
        <v>0</v>
      </c>
      <c r="Z133" s="110" t="str">
        <f>'CORE  2019'!W125</f>
        <v>y</v>
      </c>
    </row>
    <row r="134" spans="1:26">
      <c r="A134" t="str">
        <f>'CORE  2019'!B126</f>
        <v>131.04.01.07</v>
      </c>
      <c r="B134" t="str">
        <f>'CORE  2019'!C126</f>
        <v>Installation Tools</v>
      </c>
      <c r="C134" s="110">
        <f>'CORE  2019'!D126</f>
        <v>1</v>
      </c>
      <c r="D134" t="str">
        <f>'CORE  2019'!E126</f>
        <v>spare parts</v>
      </c>
      <c r="E134" s="108">
        <f>'CORE  2019'!J126</f>
        <v>195</v>
      </c>
      <c r="F134" s="94">
        <f t="shared" si="96"/>
        <v>0.2</v>
      </c>
      <c r="G134" s="93">
        <f t="shared" si="97"/>
        <v>39</v>
      </c>
      <c r="H134" s="94">
        <f t="shared" si="98"/>
        <v>0.12</v>
      </c>
      <c r="I134" s="93">
        <f t="shared" si="99"/>
        <v>23.4</v>
      </c>
      <c r="J134" s="95">
        <f t="shared" si="100"/>
        <v>7.8E-2</v>
      </c>
      <c r="K134" s="93">
        <f t="shared" si="101"/>
        <v>20.077199999999998</v>
      </c>
      <c r="L134" s="95">
        <f t="shared" si="102"/>
        <v>8.5000000000000006E-2</v>
      </c>
      <c r="M134" s="93">
        <f t="shared" si="103"/>
        <v>16.575000000000003</v>
      </c>
      <c r="N134" s="23">
        <f t="shared" si="104"/>
        <v>294.05219999999997</v>
      </c>
      <c r="O134" s="99"/>
      <c r="P134" s="99"/>
      <c r="Q134" s="99"/>
      <c r="R134" s="8"/>
      <c r="S134" s="8"/>
      <c r="T134" s="8">
        <f>N134*0.7</f>
        <v>205.83653999999996</v>
      </c>
      <c r="U134" s="8">
        <f>N134*0.3</f>
        <v>88.215659999999986</v>
      </c>
      <c r="V134" s="99"/>
      <c r="W134" s="8"/>
      <c r="X134" s="99" t="s">
        <v>236</v>
      </c>
      <c r="Y134" s="61">
        <f t="shared" si="105"/>
        <v>0</v>
      </c>
      <c r="Z134" s="110" t="str">
        <f>'CORE  2019'!W126</f>
        <v>y</v>
      </c>
    </row>
    <row r="135" spans="1:26">
      <c r="A135" t="str">
        <f>'CORE  2019'!B127</f>
        <v>131.04.01.07</v>
      </c>
      <c r="B135" t="str">
        <f>'CORE  2019'!C127</f>
        <v>Installation Tools</v>
      </c>
      <c r="C135" s="110">
        <f>'CORE  2019'!D127</f>
        <v>1</v>
      </c>
      <c r="D135" t="str">
        <f>'CORE  2019'!E127</f>
        <v>electrical diagnostics equipment</v>
      </c>
      <c r="E135" s="108">
        <f>'CORE  2019'!J127</f>
        <v>205.19300000000001</v>
      </c>
      <c r="F135" s="94">
        <f t="shared" si="96"/>
        <v>0.2</v>
      </c>
      <c r="G135" s="93">
        <f t="shared" si="97"/>
        <v>41.038600000000002</v>
      </c>
      <c r="H135" s="94">
        <f t="shared" si="98"/>
        <v>0.12</v>
      </c>
      <c r="I135" s="93">
        <f t="shared" si="99"/>
        <v>24.623160000000002</v>
      </c>
      <c r="J135" s="95">
        <f t="shared" si="100"/>
        <v>7.8E-2</v>
      </c>
      <c r="K135" s="93">
        <f t="shared" si="101"/>
        <v>21.12667128</v>
      </c>
      <c r="L135" s="95">
        <f t="shared" si="102"/>
        <v>8.5000000000000006E-2</v>
      </c>
      <c r="M135" s="93">
        <f t="shared" si="103"/>
        <v>17.441405000000003</v>
      </c>
      <c r="N135" s="23">
        <f t="shared" si="104"/>
        <v>309.42283627999996</v>
      </c>
      <c r="O135" s="45"/>
      <c r="P135" s="45"/>
      <c r="Q135" s="45"/>
      <c r="R135" s="46"/>
      <c r="S135" s="46"/>
      <c r="T135" s="8">
        <f>N135*0.7</f>
        <v>216.59598539599995</v>
      </c>
      <c r="U135" s="8">
        <f>N135*0.3</f>
        <v>92.826850883999981</v>
      </c>
      <c r="V135" s="99"/>
      <c r="W135" s="8"/>
      <c r="X135" s="99" t="s">
        <v>236</v>
      </c>
      <c r="Y135" s="61">
        <f t="shared" si="105"/>
        <v>0</v>
      </c>
      <c r="Z135" s="110" t="str">
        <f>'CORE  2019'!W127</f>
        <v>y</v>
      </c>
    </row>
    <row r="136" spans="1:26">
      <c r="A136" t="str">
        <f>'CORE  2019'!B128</f>
        <v>131.04.01.07</v>
      </c>
      <c r="B136" t="str">
        <f>'CORE  2019'!C128</f>
        <v>Installation Tools</v>
      </c>
      <c r="C136" s="110">
        <f>'CORE  2019'!D128</f>
        <v>1</v>
      </c>
      <c r="D136" t="str">
        <f>'CORE  2019'!E128</f>
        <v>installation storage equipment</v>
      </c>
      <c r="E136" s="108">
        <f>'CORE  2019'!J128</f>
        <v>61.932000000000002</v>
      </c>
      <c r="F136" s="94">
        <f t="shared" si="96"/>
        <v>0.2</v>
      </c>
      <c r="G136" s="93">
        <f t="shared" si="97"/>
        <v>12.386400000000002</v>
      </c>
      <c r="H136" s="94">
        <f t="shared" si="98"/>
        <v>0.12</v>
      </c>
      <c r="I136" s="93">
        <f t="shared" si="99"/>
        <v>7.4318400000000002</v>
      </c>
      <c r="J136" s="95">
        <f t="shared" si="100"/>
        <v>7.8E-2</v>
      </c>
      <c r="K136" s="93">
        <f t="shared" si="101"/>
        <v>6.3765187199999991</v>
      </c>
      <c r="L136" s="95">
        <f t="shared" si="102"/>
        <v>8.5000000000000006E-2</v>
      </c>
      <c r="M136" s="93">
        <f t="shared" si="103"/>
        <v>5.2642200000000008</v>
      </c>
      <c r="N136" s="23">
        <f t="shared" si="104"/>
        <v>93.390978719999978</v>
      </c>
      <c r="O136" s="45"/>
      <c r="P136" s="45"/>
      <c r="Q136" s="45"/>
      <c r="R136" s="46"/>
      <c r="S136" s="46"/>
      <c r="T136" s="8">
        <f>N136*0.7</f>
        <v>65.373685103999975</v>
      </c>
      <c r="U136" s="8">
        <f>N136*0.3</f>
        <v>28.017293615999993</v>
      </c>
      <c r="V136" s="99"/>
      <c r="W136" s="8"/>
      <c r="X136" s="99" t="s">
        <v>236</v>
      </c>
      <c r="Y136" s="61">
        <f t="shared" si="105"/>
        <v>0</v>
      </c>
      <c r="Z136" s="110" t="str">
        <f>'CORE  2019'!W128</f>
        <v>y</v>
      </c>
    </row>
    <row r="137" spans="1:26">
      <c r="A137" t="str">
        <f>'CORE  2019'!B129</f>
        <v>131.04.01.06</v>
      </c>
      <c r="B137" t="str">
        <f>'CORE  2019'!C129</f>
        <v>Installation Tools</v>
      </c>
      <c r="C137" s="110">
        <f>'CORE  2019'!D129</f>
        <v>1</v>
      </c>
      <c r="D137" t="str">
        <f>'CORE  2019'!E129</f>
        <v>floor inside cryostat + supports</v>
      </c>
      <c r="E137" s="108">
        <f>'CORE  2019'!J129</f>
        <v>265.0752</v>
      </c>
      <c r="F137" s="94">
        <f t="shared" si="96"/>
        <v>0.2</v>
      </c>
      <c r="G137" s="93">
        <f t="shared" si="97"/>
        <v>53.015039999999999</v>
      </c>
      <c r="H137" s="94">
        <f t="shared" si="98"/>
        <v>0.12</v>
      </c>
      <c r="I137" s="93">
        <f t="shared" si="99"/>
        <v>31.809023999999997</v>
      </c>
      <c r="J137" s="95">
        <f t="shared" si="100"/>
        <v>7.8E-2</v>
      </c>
      <c r="K137" s="93">
        <f t="shared" si="101"/>
        <v>27.292142592000001</v>
      </c>
      <c r="L137" s="95">
        <f t="shared" si="102"/>
        <v>8.5000000000000006E-2</v>
      </c>
      <c r="M137" s="93">
        <f t="shared" si="103"/>
        <v>22.531392</v>
      </c>
      <c r="N137" s="23">
        <f t="shared" si="104"/>
        <v>399.722798592</v>
      </c>
      <c r="O137" s="99"/>
      <c r="P137" s="99"/>
      <c r="Q137" s="99"/>
      <c r="R137" s="8" t="s">
        <v>0</v>
      </c>
      <c r="S137" s="8">
        <f>N137*0.7</f>
        <v>279.8059590144</v>
      </c>
      <c r="T137" s="8">
        <f>N137*0.3</f>
        <v>119.9168395776</v>
      </c>
      <c r="U137" s="8"/>
      <c r="V137" s="99"/>
      <c r="W137" s="8"/>
      <c r="X137" s="99" t="s">
        <v>236</v>
      </c>
      <c r="Y137" s="61">
        <f t="shared" si="105"/>
        <v>0</v>
      </c>
      <c r="Z137" s="110" t="str">
        <f>'CORE  2019'!W129</f>
        <v>y</v>
      </c>
    </row>
    <row r="138" spans="1:26">
      <c r="A138" t="str">
        <f>'CORE  2019'!B130</f>
        <v>131.04.01.07</v>
      </c>
      <c r="B138" t="str">
        <f>'CORE  2019'!C130</f>
        <v>Installation Tools</v>
      </c>
      <c r="C138" s="110">
        <f>'CORE  2019'!D130</f>
        <v>1</v>
      </c>
      <c r="D138" t="str">
        <f>'CORE  2019'!E130</f>
        <v>scissor lifts rental (6 per 48 months)</v>
      </c>
      <c r="E138" s="108">
        <f>'CORE  2019'!J130</f>
        <v>260.20800000000003</v>
      </c>
      <c r="F138" s="94">
        <f t="shared" si="96"/>
        <v>0.2</v>
      </c>
      <c r="G138" s="93">
        <f t="shared" si="97"/>
        <v>52.04160000000001</v>
      </c>
      <c r="H138" s="94">
        <f t="shared" si="98"/>
        <v>0.12</v>
      </c>
      <c r="I138" s="93">
        <f t="shared" si="99"/>
        <v>31.224960000000003</v>
      </c>
      <c r="J138" s="95">
        <f t="shared" si="100"/>
        <v>7.8E-2</v>
      </c>
      <c r="K138" s="93">
        <f t="shared" si="101"/>
        <v>26.791015680000005</v>
      </c>
      <c r="L138" s="95">
        <f t="shared" si="102"/>
        <v>8.5000000000000006E-2</v>
      </c>
      <c r="M138" s="93">
        <f t="shared" si="103"/>
        <v>22.117680000000004</v>
      </c>
      <c r="N138" s="23">
        <f t="shared" si="104"/>
        <v>392.38325568000005</v>
      </c>
      <c r="O138" s="99"/>
      <c r="P138" s="99"/>
      <c r="Q138" s="99"/>
      <c r="R138" s="8">
        <f t="shared" ref="R138:U139" si="108">$N138/4</f>
        <v>98.095813920000012</v>
      </c>
      <c r="S138" s="8">
        <f t="shared" si="108"/>
        <v>98.095813920000012</v>
      </c>
      <c r="T138" s="8">
        <f t="shared" si="108"/>
        <v>98.095813920000012</v>
      </c>
      <c r="U138" s="8">
        <f t="shared" si="108"/>
        <v>98.095813920000012</v>
      </c>
      <c r="V138" s="99"/>
      <c r="W138" s="8"/>
      <c r="X138" s="99" t="s">
        <v>236</v>
      </c>
      <c r="Y138" s="61">
        <f t="shared" si="105"/>
        <v>0</v>
      </c>
      <c r="Z138" s="110" t="str">
        <f>'CORE  2019'!W130</f>
        <v>y</v>
      </c>
    </row>
    <row r="139" spans="1:26">
      <c r="A139" t="str">
        <f>'CORE  2019'!B131</f>
        <v>131.04.01.07</v>
      </c>
      <c r="B139" t="str">
        <f>'CORE  2019'!C131</f>
        <v>Installation Tools</v>
      </c>
      <c r="C139" s="110">
        <f>'CORE  2019'!D131</f>
        <v>1</v>
      </c>
      <c r="D139" t="str">
        <f>'CORE  2019'!E131</f>
        <v>scaffolding rental/ (6 per 4 years)</v>
      </c>
      <c r="E139" s="108">
        <f>'CORE  2019'!J131</f>
        <v>234</v>
      </c>
      <c r="F139" s="94">
        <f t="shared" si="96"/>
        <v>0.2</v>
      </c>
      <c r="G139" s="93">
        <f t="shared" si="97"/>
        <v>46.800000000000004</v>
      </c>
      <c r="H139" s="94">
        <f t="shared" si="98"/>
        <v>0.12</v>
      </c>
      <c r="I139" s="93">
        <f t="shared" si="99"/>
        <v>28.08</v>
      </c>
      <c r="J139" s="95">
        <f t="shared" si="100"/>
        <v>7.8E-2</v>
      </c>
      <c r="K139" s="93">
        <f t="shared" si="101"/>
        <v>24.092639999999999</v>
      </c>
      <c r="L139" s="95">
        <f t="shared" si="102"/>
        <v>8.5000000000000006E-2</v>
      </c>
      <c r="M139" s="93">
        <f t="shared" si="103"/>
        <v>19.89</v>
      </c>
      <c r="N139" s="23">
        <f t="shared" si="104"/>
        <v>352.86264</v>
      </c>
      <c r="O139" s="99"/>
      <c r="P139" s="99"/>
      <c r="Q139" s="99"/>
      <c r="R139" s="8">
        <f t="shared" si="108"/>
        <v>88.21566</v>
      </c>
      <c r="S139" s="8">
        <f t="shared" si="108"/>
        <v>88.21566</v>
      </c>
      <c r="T139" s="8">
        <f t="shared" si="108"/>
        <v>88.21566</v>
      </c>
      <c r="U139" s="8">
        <f t="shared" si="108"/>
        <v>88.21566</v>
      </c>
      <c r="V139" s="99" t="s">
        <v>0</v>
      </c>
      <c r="W139" s="8" t="s">
        <v>0</v>
      </c>
      <c r="X139" s="99" t="s">
        <v>236</v>
      </c>
      <c r="Y139" s="61">
        <f t="shared" si="105"/>
        <v>0</v>
      </c>
      <c r="Z139" s="110" t="str">
        <f>'CORE  2019'!W131</f>
        <v>y</v>
      </c>
    </row>
    <row r="140" spans="1:26">
      <c r="A140" t="str">
        <f>'CORE  2019'!B132</f>
        <v>131.04.01.07</v>
      </c>
      <c r="B140" t="str">
        <f>'CORE  2019'!C132</f>
        <v>Installation Tools</v>
      </c>
      <c r="C140" s="110">
        <f>'CORE  2019'!D132</f>
        <v>1</v>
      </c>
      <c r="D140" t="str">
        <f>'CORE  2019'!E132</f>
        <v>machine shop</v>
      </c>
      <c r="E140" s="108">
        <f>'CORE  2019'!J132</f>
        <v>208</v>
      </c>
      <c r="F140" s="94">
        <f t="shared" si="96"/>
        <v>0.2</v>
      </c>
      <c r="G140" s="93">
        <f t="shared" si="97"/>
        <v>41.6</v>
      </c>
      <c r="H140" s="94">
        <f t="shared" si="98"/>
        <v>0.12</v>
      </c>
      <c r="I140" s="93">
        <f t="shared" si="99"/>
        <v>24.96</v>
      </c>
      <c r="J140" s="95">
        <f t="shared" si="100"/>
        <v>7.8E-2</v>
      </c>
      <c r="K140" s="93">
        <f t="shared" si="101"/>
        <v>21.415680000000002</v>
      </c>
      <c r="L140" s="95">
        <f t="shared" si="102"/>
        <v>8.5000000000000006E-2</v>
      </c>
      <c r="M140" s="93">
        <f t="shared" si="103"/>
        <v>17.68</v>
      </c>
      <c r="N140" s="23">
        <f t="shared" si="104"/>
        <v>313.65568000000002</v>
      </c>
      <c r="O140" s="99"/>
      <c r="P140" s="99" t="s">
        <v>0</v>
      </c>
      <c r="Q140" s="99"/>
      <c r="R140" s="8">
        <f>N140</f>
        <v>313.65568000000002</v>
      </c>
      <c r="S140" s="8"/>
      <c r="T140" s="8"/>
      <c r="U140" s="8"/>
      <c r="V140" s="99"/>
      <c r="W140" s="8"/>
      <c r="X140" s="63" t="s">
        <v>231</v>
      </c>
      <c r="Y140" s="61">
        <f t="shared" si="105"/>
        <v>0</v>
      </c>
      <c r="Z140" s="110" t="str">
        <f>'CORE  2019'!W132</f>
        <v>y</v>
      </c>
    </row>
    <row r="141" spans="1:26">
      <c r="A141" t="str">
        <f>'CORE  2019'!B133</f>
        <v>131.04.01.06</v>
      </c>
      <c r="B141" t="str">
        <f>'CORE  2019'!C133</f>
        <v>Installation Tools</v>
      </c>
      <c r="C141" s="110">
        <f>'CORE  2019'!D133</f>
        <v>2</v>
      </c>
      <c r="D141" t="str">
        <f>'CORE  2019'!E133</f>
        <v>same as det1</v>
      </c>
      <c r="E141" s="108">
        <f>'CORE  2019'!J133</f>
        <v>1414.8823</v>
      </c>
      <c r="F141" s="94">
        <f t="shared" si="96"/>
        <v>0.2</v>
      </c>
      <c r="G141" s="93">
        <f t="shared" si="97"/>
        <v>282.97646000000003</v>
      </c>
      <c r="H141" s="94">
        <f t="shared" si="98"/>
        <v>0.12</v>
      </c>
      <c r="I141" s="93">
        <f t="shared" si="99"/>
        <v>169.785876</v>
      </c>
      <c r="J141" s="95">
        <f t="shared" si="100"/>
        <v>7.8E-2</v>
      </c>
      <c r="K141" s="93">
        <f t="shared" si="101"/>
        <v>145.67628160800001</v>
      </c>
      <c r="L141" s="95">
        <f t="shared" si="102"/>
        <v>8.5000000000000006E-2</v>
      </c>
      <c r="M141" s="93">
        <f t="shared" si="103"/>
        <v>120.26499550000001</v>
      </c>
      <c r="N141" s="23">
        <f t="shared" si="104"/>
        <v>2133.5859131080001</v>
      </c>
      <c r="O141" s="99"/>
      <c r="P141" s="99"/>
      <c r="Q141" s="99"/>
      <c r="R141" s="28" t="s">
        <v>0</v>
      </c>
      <c r="S141" s="28" t="s">
        <v>0</v>
      </c>
      <c r="T141" s="28">
        <f>N141*0.3</f>
        <v>640.07577393240001</v>
      </c>
      <c r="U141" s="28">
        <f>N141*0.3</f>
        <v>640.07577393240001</v>
      </c>
      <c r="V141" s="23">
        <f>N141*0.3</f>
        <v>640.07577393240001</v>
      </c>
      <c r="W141" s="28">
        <f>N141*0.1</f>
        <v>213.35859131080002</v>
      </c>
      <c r="X141" s="99" t="s">
        <v>236</v>
      </c>
      <c r="Y141" s="61">
        <f t="shared" si="105"/>
        <v>0</v>
      </c>
      <c r="Z141" s="110" t="str">
        <f>'CORE  2019'!W133</f>
        <v>y</v>
      </c>
    </row>
    <row r="142" spans="1:26">
      <c r="A142" t="str">
        <f>'CORE  2019'!B134</f>
        <v>131.04.01.07</v>
      </c>
      <c r="B142" t="str">
        <f>'CORE  2019'!C134</f>
        <v>installation tools</v>
      </c>
      <c r="C142" s="110">
        <f>'CORE  2019'!D134</f>
        <v>2</v>
      </c>
      <c r="D142" t="str">
        <f>'CORE  2019'!E134</f>
        <v>same as det1</v>
      </c>
      <c r="E142" s="108">
        <f>'CORE  2019'!J134</f>
        <v>4041.3684000000003</v>
      </c>
      <c r="F142" s="94">
        <f t="shared" si="96"/>
        <v>0.2</v>
      </c>
      <c r="G142" s="93">
        <f t="shared" si="97"/>
        <v>808.27368000000013</v>
      </c>
      <c r="H142" s="94">
        <f t="shared" si="98"/>
        <v>0.12</v>
      </c>
      <c r="I142" s="93">
        <f t="shared" si="99"/>
        <v>484.96420800000004</v>
      </c>
      <c r="J142" s="95">
        <f t="shared" si="100"/>
        <v>7.8E-2</v>
      </c>
      <c r="K142" s="93">
        <f t="shared" si="101"/>
        <v>416.09929046400009</v>
      </c>
      <c r="L142" s="95">
        <f t="shared" si="102"/>
        <v>8.5000000000000006E-2</v>
      </c>
      <c r="M142" s="93">
        <f t="shared" si="103"/>
        <v>343.51631400000002</v>
      </c>
      <c r="N142" s="23">
        <f t="shared" si="104"/>
        <v>6094.221892464001</v>
      </c>
      <c r="O142" s="99"/>
      <c r="P142" s="99"/>
      <c r="Q142" s="99"/>
      <c r="R142" s="28"/>
      <c r="S142" s="28"/>
      <c r="T142" s="28">
        <f>N142*0.3</f>
        <v>1828.2665677392004</v>
      </c>
      <c r="U142" s="28">
        <f>N142*0.3</f>
        <v>1828.2665677392004</v>
      </c>
      <c r="V142" s="23">
        <f>N142*0.3</f>
        <v>1828.2665677392004</v>
      </c>
      <c r="W142" s="28">
        <f>N142*0.1</f>
        <v>609.42218924640008</v>
      </c>
      <c r="X142" s="99" t="s">
        <v>236</v>
      </c>
      <c r="Y142" s="61">
        <f t="shared" si="105"/>
        <v>0</v>
      </c>
      <c r="Z142" s="110" t="str">
        <f>'CORE  2019'!W134</f>
        <v>y</v>
      </c>
    </row>
    <row r="143" spans="1:26">
      <c r="A143" t="str">
        <f>'CORE  2019'!B135</f>
        <v>131.04.01.07</v>
      </c>
      <c r="B143" t="str">
        <f>'CORE  2019'!C135</f>
        <v>Installation Tools</v>
      </c>
      <c r="C143" s="110">
        <f>'CORE  2019'!D135</f>
        <v>2</v>
      </c>
      <c r="D143" t="str">
        <f>'CORE  2019'!E135</f>
        <v>reuse cold boxes, N2</v>
      </c>
      <c r="E143" s="108">
        <f>'CORE  2019'!J135</f>
        <v>-1796.3</v>
      </c>
      <c r="F143" s="94">
        <f t="shared" si="96"/>
        <v>0.2</v>
      </c>
      <c r="G143" s="93">
        <f t="shared" si="97"/>
        <v>-359.26</v>
      </c>
      <c r="H143" s="94">
        <f t="shared" si="98"/>
        <v>0.12</v>
      </c>
      <c r="I143" s="93">
        <f t="shared" si="99"/>
        <v>-215.55599999999998</v>
      </c>
      <c r="J143" s="95">
        <f t="shared" si="100"/>
        <v>7.8E-2</v>
      </c>
      <c r="K143" s="93">
        <f t="shared" si="101"/>
        <v>-184.947048</v>
      </c>
      <c r="L143" s="95">
        <f t="shared" si="102"/>
        <v>8.5000000000000006E-2</v>
      </c>
      <c r="M143" s="93">
        <f t="shared" si="103"/>
        <v>-152.68550000000002</v>
      </c>
      <c r="N143" s="23">
        <f t="shared" si="104"/>
        <v>-2708.748548</v>
      </c>
      <c r="O143" s="99"/>
      <c r="P143" s="99"/>
      <c r="Q143" s="99"/>
      <c r="R143" s="28"/>
      <c r="S143" s="28"/>
      <c r="T143" s="28">
        <f>N143*0.6</f>
        <v>-1625.2491287999999</v>
      </c>
      <c r="U143" s="28">
        <f>N143*0.4</f>
        <v>-1083.4994192000001</v>
      </c>
      <c r="V143" s="23" t="s">
        <v>0</v>
      </c>
      <c r="W143" s="28" t="s">
        <v>0</v>
      </c>
      <c r="X143" s="99" t="s">
        <v>236</v>
      </c>
      <c r="Y143" s="61">
        <f t="shared" si="105"/>
        <v>0</v>
      </c>
      <c r="Z143" s="110" t="str">
        <f>'CORE  2019'!W135</f>
        <v>y</v>
      </c>
    </row>
    <row r="144" spans="1:26">
      <c r="A144" t="str">
        <f>'CORE  2019'!B136</f>
        <v>131.04.01.07</v>
      </c>
      <c r="B144" t="str">
        <f>'CORE  2019'!C136</f>
        <v>Installation Tools</v>
      </c>
      <c r="C144" s="110" t="str">
        <f>'CORE  2019'!D136</f>
        <v>N/A</v>
      </c>
      <c r="D144" t="str">
        <f>'CORE  2019'!E136</f>
        <v>Material Handling in cavern and transport from cavern to SAS</v>
      </c>
      <c r="E144" s="108">
        <f>'CORE  2019'!J136</f>
        <v>470.66399999999999</v>
      </c>
      <c r="F144" s="94">
        <f t="shared" si="96"/>
        <v>0.2</v>
      </c>
      <c r="G144" s="93">
        <f t="shared" si="97"/>
        <v>94.132800000000003</v>
      </c>
      <c r="H144" s="94">
        <f t="shared" si="98"/>
        <v>0.12</v>
      </c>
      <c r="I144" s="93">
        <f t="shared" si="99"/>
        <v>56.479679999999995</v>
      </c>
      <c r="J144" s="95">
        <f t="shared" si="100"/>
        <v>7.8E-2</v>
      </c>
      <c r="K144" s="93">
        <f t="shared" si="101"/>
        <v>48.459565439999999</v>
      </c>
      <c r="L144" s="95">
        <f t="shared" si="102"/>
        <v>8.5000000000000006E-2</v>
      </c>
      <c r="M144" s="93">
        <f t="shared" si="103"/>
        <v>40.006440000000005</v>
      </c>
      <c r="N144" s="23">
        <f t="shared" si="104"/>
        <v>709.74248544</v>
      </c>
      <c r="O144" s="43"/>
      <c r="P144" s="43"/>
      <c r="Q144" s="43" t="s">
        <v>0</v>
      </c>
      <c r="R144" s="44" t="s">
        <v>0</v>
      </c>
      <c r="S144" s="44" t="s">
        <v>0</v>
      </c>
      <c r="T144" s="82">
        <f>N144</f>
        <v>709.74248544</v>
      </c>
      <c r="U144" s="82" t="s">
        <v>0</v>
      </c>
      <c r="V144" s="83" t="s">
        <v>0</v>
      </c>
      <c r="W144" s="44"/>
      <c r="X144" s="99" t="s">
        <v>236</v>
      </c>
      <c r="Y144" s="61">
        <f t="shared" si="105"/>
        <v>0</v>
      </c>
      <c r="Z144" s="110" t="str">
        <f>'CORE  2019'!W136</f>
        <v>y</v>
      </c>
    </row>
    <row r="145" spans="1:26">
      <c r="A145" t="str">
        <f>'CORE  2019'!B137</f>
        <v>131.04.01.07</v>
      </c>
      <c r="B145" t="str">
        <f>'CORE  2019'!C137</f>
        <v>Installation Tools</v>
      </c>
      <c r="C145" s="110" t="str">
        <f>'CORE  2019'!D137</f>
        <v>N/A</v>
      </c>
      <c r="D145" t="str">
        <f>'CORE  2019'!E137</f>
        <v>lifts for photon integration</v>
      </c>
      <c r="E145" s="108">
        <f>'CORE  2019'!J137</f>
        <v>43.947072000000006</v>
      </c>
      <c r="F145" s="94">
        <f t="shared" si="96"/>
        <v>0.2</v>
      </c>
      <c r="G145" s="93">
        <f t="shared" si="97"/>
        <v>8.7894144000000018</v>
      </c>
      <c r="H145" s="94">
        <f t="shared" si="98"/>
        <v>0.12</v>
      </c>
      <c r="I145" s="93">
        <f t="shared" si="99"/>
        <v>5.2736486400000002</v>
      </c>
      <c r="J145" s="95">
        <f t="shared" si="100"/>
        <v>7.8E-2</v>
      </c>
      <c r="K145" s="93">
        <f t="shared" si="101"/>
        <v>4.52479053312</v>
      </c>
      <c r="L145" s="95">
        <f t="shared" si="102"/>
        <v>8.5000000000000006E-2</v>
      </c>
      <c r="M145" s="93">
        <f t="shared" si="103"/>
        <v>3.7355011200000008</v>
      </c>
      <c r="N145" s="23">
        <f t="shared" si="104"/>
        <v>66.270426693120001</v>
      </c>
      <c r="O145" s="99"/>
      <c r="P145" s="99"/>
      <c r="Q145" s="99" t="s">
        <v>0</v>
      </c>
      <c r="R145" s="8" t="s">
        <v>0</v>
      </c>
      <c r="S145" s="8" t="s">
        <v>0</v>
      </c>
      <c r="T145" s="8">
        <f>$N145/4</f>
        <v>16.56760667328</v>
      </c>
      <c r="U145" s="8">
        <f>$N145/4</f>
        <v>16.56760667328</v>
      </c>
      <c r="V145" s="8">
        <f>$N145/4</f>
        <v>16.56760667328</v>
      </c>
      <c r="W145" s="8">
        <f>$N145/4</f>
        <v>16.56760667328</v>
      </c>
      <c r="X145" s="99" t="s">
        <v>236</v>
      </c>
      <c r="Y145" s="61">
        <f t="shared" si="105"/>
        <v>0</v>
      </c>
      <c r="Z145" s="110" t="str">
        <f>'CORE  2019'!W137</f>
        <v>y</v>
      </c>
    </row>
    <row r="146" spans="1:26">
      <c r="A146" t="str">
        <f>'CORE  2019'!B138</f>
        <v>131.04.01.07</v>
      </c>
      <c r="B146" t="str">
        <f>'CORE  2019'!C138</f>
        <v>Installation Tools</v>
      </c>
      <c r="C146" s="110" t="str">
        <f>'CORE  2019'!D138</f>
        <v>N/A</v>
      </c>
      <c r="D146" t="str">
        <f>'CORE  2019'!E138</f>
        <v>electronics racks for testing</v>
      </c>
      <c r="E146" s="108">
        <f>'CORE  2019'!J138</f>
        <v>97.741799999999998</v>
      </c>
      <c r="F146" s="94">
        <f t="shared" si="96"/>
        <v>0.2</v>
      </c>
      <c r="G146" s="93">
        <f t="shared" si="97"/>
        <v>19.548360000000002</v>
      </c>
      <c r="H146" s="94">
        <f t="shared" si="98"/>
        <v>0.12</v>
      </c>
      <c r="I146" s="93">
        <f t="shared" si="99"/>
        <v>11.729016</v>
      </c>
      <c r="J146" s="95">
        <f t="shared" si="100"/>
        <v>7.8E-2</v>
      </c>
      <c r="K146" s="93">
        <f t="shared" si="101"/>
        <v>10.063495727999999</v>
      </c>
      <c r="L146" s="95">
        <f t="shared" si="102"/>
        <v>8.5000000000000006E-2</v>
      </c>
      <c r="M146" s="93">
        <f t="shared" si="103"/>
        <v>8.308053000000001</v>
      </c>
      <c r="N146" s="23">
        <f t="shared" si="104"/>
        <v>147.39072472799998</v>
      </c>
      <c r="O146" s="99"/>
      <c r="P146" s="99"/>
      <c r="Q146" s="99"/>
      <c r="R146" s="8"/>
      <c r="S146" s="8"/>
      <c r="T146" s="8">
        <f>N146</f>
        <v>147.39072472799998</v>
      </c>
      <c r="U146" s="8"/>
      <c r="V146" s="99"/>
      <c r="W146" s="8"/>
      <c r="X146" s="99" t="s">
        <v>236</v>
      </c>
      <c r="Y146" s="61">
        <f t="shared" si="105"/>
        <v>0</v>
      </c>
      <c r="Z146" s="110" t="str">
        <f>'CORE  2019'!W138</f>
        <v>y</v>
      </c>
    </row>
    <row r="147" spans="1:26">
      <c r="A147" t="str">
        <f>'CORE  2019'!B139</f>
        <v>131.04.01.02</v>
      </c>
      <c r="B147" t="str">
        <f>'CORE  2019'!C139</f>
        <v>Installation Tools</v>
      </c>
      <c r="C147" s="110" t="str">
        <f>'CORE  2019'!D139</f>
        <v>N/A</v>
      </c>
      <c r="D147" t="str">
        <f>'CORE  2019'!E139</f>
        <v>Benches for eating area outside cleanroom</v>
      </c>
      <c r="E147" s="108">
        <f>'CORE  2019'!J139</f>
        <v>35.1</v>
      </c>
      <c r="F147" s="94">
        <f t="shared" si="96"/>
        <v>0.2</v>
      </c>
      <c r="G147" s="93">
        <f t="shared" si="97"/>
        <v>7.0200000000000005</v>
      </c>
      <c r="H147" s="94">
        <f t="shared" si="98"/>
        <v>0.12</v>
      </c>
      <c r="I147" s="93">
        <f t="shared" si="99"/>
        <v>4.2119999999999997</v>
      </c>
      <c r="J147" s="95">
        <f t="shared" si="100"/>
        <v>7.8E-2</v>
      </c>
      <c r="K147" s="93">
        <f t="shared" si="101"/>
        <v>3.6138960000000004</v>
      </c>
      <c r="L147" s="95">
        <f t="shared" si="102"/>
        <v>8.5000000000000006E-2</v>
      </c>
      <c r="M147" s="93">
        <f t="shared" si="103"/>
        <v>2.9835000000000003</v>
      </c>
      <c r="N147" s="23">
        <f t="shared" si="104"/>
        <v>52.929396000000004</v>
      </c>
      <c r="O147" s="29"/>
      <c r="P147" s="52"/>
      <c r="Q147" s="29"/>
      <c r="R147" s="53"/>
      <c r="S147" s="53"/>
      <c r="T147" s="8">
        <f>N147</f>
        <v>52.929396000000004</v>
      </c>
      <c r="U147" s="53"/>
      <c r="V147" s="29"/>
      <c r="W147" s="53"/>
      <c r="X147" s="63" t="s">
        <v>231</v>
      </c>
      <c r="Y147" s="61">
        <f t="shared" si="105"/>
        <v>0</v>
      </c>
      <c r="Z147" s="110" t="str">
        <f>'CORE  2019'!W139</f>
        <v>y</v>
      </c>
    </row>
    <row r="148" spans="1:26">
      <c r="A148" t="str">
        <f>'CORE  2019'!B140</f>
        <v>131.04.01.07</v>
      </c>
      <c r="B148" t="str">
        <f>'CORE  2019'!C140</f>
        <v>Installation Tools</v>
      </c>
      <c r="C148" s="110" t="str">
        <f>'CORE  2019'!D140</f>
        <v>N/A</v>
      </c>
      <c r="D148" t="str">
        <f>'CORE  2019'!E140</f>
        <v>Areal Lift</v>
      </c>
      <c r="E148" s="108">
        <f>'CORE  2019'!J140</f>
        <v>173.49475000000001</v>
      </c>
      <c r="F148" s="94">
        <f t="shared" si="96"/>
        <v>0.2</v>
      </c>
      <c r="G148" s="93">
        <f t="shared" si="97"/>
        <v>34.698950000000004</v>
      </c>
      <c r="H148" s="94">
        <f t="shared" si="98"/>
        <v>0.12</v>
      </c>
      <c r="I148" s="93">
        <f t="shared" si="99"/>
        <v>20.819369999999999</v>
      </c>
      <c r="J148" s="95">
        <f t="shared" si="100"/>
        <v>7.8E-2</v>
      </c>
      <c r="K148" s="93">
        <f t="shared" si="101"/>
        <v>17.86301946</v>
      </c>
      <c r="L148" s="95">
        <f t="shared" si="102"/>
        <v>8.5000000000000006E-2</v>
      </c>
      <c r="M148" s="93">
        <f t="shared" si="103"/>
        <v>14.747053750000003</v>
      </c>
      <c r="N148" s="23">
        <f t="shared" si="104"/>
        <v>261.62314321000002</v>
      </c>
      <c r="O148" s="29"/>
      <c r="P148" s="29"/>
      <c r="Q148" s="52">
        <f>N148</f>
        <v>261.62314321000002</v>
      </c>
      <c r="R148" s="53"/>
      <c r="S148" s="53" t="s">
        <v>0</v>
      </c>
      <c r="T148" s="53" t="s">
        <v>0</v>
      </c>
      <c r="U148" s="53"/>
      <c r="V148" s="29"/>
      <c r="W148" s="53"/>
      <c r="X148" s="63" t="s">
        <v>231</v>
      </c>
      <c r="Y148" s="61">
        <f t="shared" si="105"/>
        <v>0</v>
      </c>
      <c r="Z148" s="110" t="str">
        <f>'CORE  2019'!W140</f>
        <v>y</v>
      </c>
    </row>
    <row r="149" spans="1:26">
      <c r="A149" t="str">
        <f>'CORE  2019'!B141</f>
        <v>131.04.01.07</v>
      </c>
      <c r="B149" t="str">
        <f>'CORE  2019'!C141</f>
        <v>Installation Tools</v>
      </c>
      <c r="C149" s="110" t="str">
        <f>'CORE  2019'!D141</f>
        <v>N/A</v>
      </c>
      <c r="D149" t="str">
        <f>'CORE  2019'!E141</f>
        <v>Lifts general  service contract</v>
      </c>
      <c r="E149" s="108">
        <f>'CORE  2019'!J141</f>
        <v>149.76</v>
      </c>
      <c r="F149" s="94">
        <f t="shared" si="96"/>
        <v>0.2</v>
      </c>
      <c r="G149" s="93">
        <f t="shared" si="97"/>
        <v>29.951999999999998</v>
      </c>
      <c r="H149" s="94">
        <f t="shared" si="98"/>
        <v>0.12</v>
      </c>
      <c r="I149" s="93">
        <f t="shared" si="99"/>
        <v>17.9712</v>
      </c>
      <c r="J149" s="95">
        <f t="shared" si="100"/>
        <v>7.8E-2</v>
      </c>
      <c r="K149" s="93">
        <f t="shared" si="101"/>
        <v>15.419289599999999</v>
      </c>
      <c r="L149" s="95">
        <f t="shared" si="102"/>
        <v>8.5000000000000006E-2</v>
      </c>
      <c r="M149" s="93">
        <f t="shared" si="103"/>
        <v>12.7296</v>
      </c>
      <c r="N149" s="23">
        <f t="shared" si="104"/>
        <v>225.83208960000002</v>
      </c>
      <c r="O149" s="79"/>
      <c r="P149" s="79"/>
      <c r="Q149" s="79"/>
      <c r="R149" s="73"/>
      <c r="S149" s="73"/>
      <c r="T149" s="8">
        <f>$N149/4</f>
        <v>56.458022400000004</v>
      </c>
      <c r="U149" s="8">
        <f>$N149/4</f>
        <v>56.458022400000004</v>
      </c>
      <c r="V149" s="8">
        <f>$N149/4</f>
        <v>56.458022400000004</v>
      </c>
      <c r="W149" s="8">
        <f>$N149/4</f>
        <v>56.458022400000004</v>
      </c>
      <c r="X149" s="63" t="s">
        <v>231</v>
      </c>
      <c r="Y149" s="61">
        <f t="shared" si="105"/>
        <v>0</v>
      </c>
      <c r="Z149" s="110" t="str">
        <f>'CORE  2019'!W141</f>
        <v>y</v>
      </c>
    </row>
    <row r="150" spans="1:26">
      <c r="A150" t="s">
        <v>0</v>
      </c>
      <c r="B150" t="s">
        <v>369</v>
      </c>
      <c r="C150" s="110" t="s">
        <v>0</v>
      </c>
      <c r="D150" t="s">
        <v>0</v>
      </c>
      <c r="E150" s="108" t="s">
        <v>0</v>
      </c>
      <c r="G150" s="123"/>
      <c r="J150" s="149"/>
      <c r="K150" s="93" t="s">
        <v>0</v>
      </c>
      <c r="N150" s="23" t="s">
        <v>0</v>
      </c>
      <c r="O150" s="99"/>
      <c r="P150" s="99"/>
      <c r="Q150" s="99"/>
      <c r="R150" s="8"/>
      <c r="S150" s="8"/>
      <c r="T150" s="8"/>
      <c r="U150" s="8"/>
      <c r="V150" s="99"/>
      <c r="W150" s="8"/>
      <c r="X150" s="99"/>
      <c r="Y150" s="8"/>
      <c r="Z150" s="110" t="str">
        <f>'CORE  2019'!W142</f>
        <v xml:space="preserve"> </v>
      </c>
    </row>
    <row r="151" spans="1:26">
      <c r="A151" s="113" t="s">
        <v>0</v>
      </c>
      <c r="B151" s="113" t="str">
        <f>'CORE  2019'!C143</f>
        <v>Computer Racks CUC</v>
      </c>
      <c r="C151" s="110" t="s">
        <v>0</v>
      </c>
      <c r="D151" s="116">
        <f>SUM(N152:N157)</f>
        <v>2623.0103154839999</v>
      </c>
      <c r="E151" s="108" t="s">
        <v>0</v>
      </c>
      <c r="G151" s="123"/>
      <c r="J151" s="149"/>
      <c r="K151" s="93" t="s">
        <v>0</v>
      </c>
      <c r="N151" s="23" t="s">
        <v>0</v>
      </c>
      <c r="O151" s="99"/>
      <c r="P151" s="99"/>
      <c r="Q151" s="99"/>
      <c r="R151" s="28"/>
      <c r="S151" s="28"/>
      <c r="T151" s="28"/>
      <c r="U151" s="28"/>
      <c r="V151" s="23"/>
      <c r="W151" s="28"/>
      <c r="X151" s="47"/>
      <c r="Y151" s="8"/>
      <c r="Z151" s="110" t="str">
        <f>'CORE  2019'!W143</f>
        <v xml:space="preserve"> </v>
      </c>
    </row>
    <row r="152" spans="1:26">
      <c r="A152" t="str">
        <f>'CORE  2019'!B144</f>
        <v>131.04.01.02</v>
      </c>
      <c r="B152" t="str">
        <f>'CORE  2019'!C144</f>
        <v>Computer Racks CUC</v>
      </c>
      <c r="C152" s="110" t="str">
        <f>'CORE  2019'!D144</f>
        <v>N/A</v>
      </c>
      <c r="D152" t="str">
        <f>'CORE  2019'!E144</f>
        <v>water cooled racks</v>
      </c>
      <c r="E152" s="108">
        <f>'CORE  2019'!J144</f>
        <v>634.29600000000005</v>
      </c>
      <c r="F152" s="94">
        <f t="shared" ref="F152:F157" si="109">$A$7</f>
        <v>0.2</v>
      </c>
      <c r="G152" s="93">
        <f t="shared" ref="G152:G157" si="110">F152*E152</f>
        <v>126.85920000000002</v>
      </c>
      <c r="H152" s="94">
        <f t="shared" ref="H152:H157" si="111">$A$9</f>
        <v>0.12</v>
      </c>
      <c r="I152" s="93">
        <f t="shared" ref="I152:I157" si="112">H152*E152</f>
        <v>76.115520000000004</v>
      </c>
      <c r="J152" s="95">
        <f t="shared" ref="J152:J157" si="113">$A$3</f>
        <v>7.8E-2</v>
      </c>
      <c r="K152" s="93">
        <f t="shared" ref="K152:K157" si="114">($E152+$G152+$I152)*$J152</f>
        <v>65.307116159999993</v>
      </c>
      <c r="L152" s="95">
        <f t="shared" ref="L152:L157" si="115">$A$11</f>
        <v>8.5000000000000006E-2</v>
      </c>
      <c r="M152" s="93">
        <f t="shared" ref="M152:M157" si="116">L152*E152</f>
        <v>53.915160000000007</v>
      </c>
      <c r="N152" s="23">
        <f t="shared" ref="N152:N157" si="117">E152+G152+I152+K152+M152</f>
        <v>956.49299615999996</v>
      </c>
      <c r="O152" s="99"/>
      <c r="P152" s="99"/>
      <c r="Q152" s="99"/>
      <c r="R152" s="8">
        <f>$N152/4</f>
        <v>239.12324903999999</v>
      </c>
      <c r="S152" s="8">
        <f>$N152/4</f>
        <v>239.12324903999999</v>
      </c>
      <c r="T152" s="8">
        <f>$N152/4</f>
        <v>239.12324903999999</v>
      </c>
      <c r="U152" s="8">
        <f>$N152/4</f>
        <v>239.12324903999999</v>
      </c>
      <c r="V152" s="99"/>
      <c r="W152" s="8"/>
      <c r="X152" s="99" t="s">
        <v>236</v>
      </c>
      <c r="Y152" s="61">
        <f t="shared" ref="Y152:Y157" si="118">SUM(O152:W152)-N152</f>
        <v>0</v>
      </c>
      <c r="Z152" s="110" t="str">
        <f>'CORE  2019'!W144</f>
        <v>y</v>
      </c>
    </row>
    <row r="153" spans="1:26">
      <c r="A153" t="str">
        <f>'CORE  2019'!B145</f>
        <v>131.04.01.02</v>
      </c>
      <c r="B153" t="str">
        <f>'CORE  2019'!C145</f>
        <v>Services Racks CUC</v>
      </c>
      <c r="C153" s="110" t="str">
        <f>'CORE  2019'!D145</f>
        <v>N/A</v>
      </c>
      <c r="D153" t="str">
        <f>'CORE  2019'!E145</f>
        <v>water distribution</v>
      </c>
      <c r="E153" s="108">
        <f>'CORE  2019'!J145</f>
        <v>31.2</v>
      </c>
      <c r="F153" s="94">
        <f t="shared" si="109"/>
        <v>0.2</v>
      </c>
      <c r="G153" s="93">
        <f t="shared" si="110"/>
        <v>6.24</v>
      </c>
      <c r="H153" s="94">
        <f t="shared" si="111"/>
        <v>0.12</v>
      </c>
      <c r="I153" s="93">
        <f t="shared" si="112"/>
        <v>3.7439999999999998</v>
      </c>
      <c r="J153" s="95">
        <f t="shared" si="113"/>
        <v>7.8E-2</v>
      </c>
      <c r="K153" s="93">
        <f t="shared" si="114"/>
        <v>3.2123519999999997</v>
      </c>
      <c r="L153" s="95">
        <f t="shared" si="115"/>
        <v>8.5000000000000006E-2</v>
      </c>
      <c r="M153" s="93">
        <f t="shared" si="116"/>
        <v>2.6520000000000001</v>
      </c>
      <c r="N153" s="23">
        <f t="shared" si="117"/>
        <v>47.048352000000001</v>
      </c>
      <c r="O153" s="99"/>
      <c r="P153" s="99"/>
      <c r="Q153" s="99"/>
      <c r="R153" s="8">
        <f>N153*0.6</f>
        <v>28.229011199999999</v>
      </c>
      <c r="S153" s="8">
        <f>N153*0.4</f>
        <v>18.819340800000003</v>
      </c>
      <c r="T153" s="8"/>
      <c r="U153" s="8"/>
      <c r="V153" s="99"/>
      <c r="W153" s="8"/>
      <c r="X153" s="99" t="s">
        <v>236</v>
      </c>
      <c r="Y153" s="61">
        <f t="shared" si="118"/>
        <v>0</v>
      </c>
      <c r="Z153" s="110" t="str">
        <f>'CORE  2019'!W145</f>
        <v>y</v>
      </c>
    </row>
    <row r="154" spans="1:26">
      <c r="A154" t="str">
        <f>'CORE  2019'!B146</f>
        <v>131.04.01.02</v>
      </c>
      <c r="B154" t="str">
        <f>'CORE  2019'!C146</f>
        <v>Services Racks CUC</v>
      </c>
      <c r="C154" s="110" t="str">
        <f>'CORE  2019'!D146</f>
        <v>N/A</v>
      </c>
      <c r="D154" t="str">
        <f>'CORE  2019'!E146</f>
        <v xml:space="preserve">CUC DAQ  AC Power   </v>
      </c>
      <c r="E154" s="108">
        <f>'CORE  2019'!J146</f>
        <v>214.5026</v>
      </c>
      <c r="F154" s="94">
        <f t="shared" si="109"/>
        <v>0.2</v>
      </c>
      <c r="G154" s="93">
        <f t="shared" si="110"/>
        <v>42.90052</v>
      </c>
      <c r="H154" s="94">
        <f t="shared" si="111"/>
        <v>0.12</v>
      </c>
      <c r="I154" s="93">
        <f t="shared" si="112"/>
        <v>25.740311999999999</v>
      </c>
      <c r="J154" s="95">
        <f t="shared" si="113"/>
        <v>7.8E-2</v>
      </c>
      <c r="K154" s="93">
        <f t="shared" si="114"/>
        <v>22.085187696000002</v>
      </c>
      <c r="L154" s="95">
        <f t="shared" si="115"/>
        <v>8.5000000000000006E-2</v>
      </c>
      <c r="M154" s="93">
        <f t="shared" si="116"/>
        <v>18.232721000000002</v>
      </c>
      <c r="N154" s="23">
        <f t="shared" si="117"/>
        <v>323.46134069600004</v>
      </c>
      <c r="O154" s="99"/>
      <c r="P154" s="99"/>
      <c r="Q154" s="99"/>
      <c r="R154" s="8">
        <f>N154*0.6</f>
        <v>194.07680441760002</v>
      </c>
      <c r="S154" s="8">
        <f>N154*0.4</f>
        <v>129.38453627840002</v>
      </c>
      <c r="T154" s="8"/>
      <c r="U154" s="8"/>
      <c r="V154" s="99"/>
      <c r="W154" s="8"/>
      <c r="X154" s="99" t="s">
        <v>236</v>
      </c>
      <c r="Y154" s="61">
        <f t="shared" si="118"/>
        <v>0</v>
      </c>
      <c r="Z154" s="110" t="str">
        <f>'CORE  2019'!W146</f>
        <v>y</v>
      </c>
    </row>
    <row r="155" spans="1:26">
      <c r="A155" t="str">
        <f>'CORE  2019'!B147</f>
        <v>131.04.01.02</v>
      </c>
      <c r="B155" t="str">
        <f>'CORE  2019'!C147</f>
        <v>Services Racks CUC</v>
      </c>
      <c r="C155" s="110" t="str">
        <f>'CORE  2019'!D147</f>
        <v>N/A</v>
      </c>
      <c r="D155" t="str">
        <f>'CORE  2019'!E147</f>
        <v>controls and safety + leaks monitor</v>
      </c>
      <c r="E155" s="108">
        <f>'CORE  2019'!J147</f>
        <v>368.94</v>
      </c>
      <c r="F155" s="94">
        <f t="shared" si="109"/>
        <v>0.2</v>
      </c>
      <c r="G155" s="93">
        <f t="shared" si="110"/>
        <v>73.787999999999997</v>
      </c>
      <c r="H155" s="94">
        <f t="shared" si="111"/>
        <v>0.12</v>
      </c>
      <c r="I155" s="93">
        <f t="shared" si="112"/>
        <v>44.272799999999997</v>
      </c>
      <c r="J155" s="95">
        <f t="shared" si="113"/>
        <v>7.8E-2</v>
      </c>
      <c r="K155" s="93">
        <f t="shared" si="114"/>
        <v>37.986062400000002</v>
      </c>
      <c r="L155" s="95">
        <f t="shared" si="115"/>
        <v>8.5000000000000006E-2</v>
      </c>
      <c r="M155" s="93">
        <f t="shared" si="116"/>
        <v>31.359900000000003</v>
      </c>
      <c r="N155" s="23">
        <f t="shared" si="117"/>
        <v>556.3467624000001</v>
      </c>
      <c r="O155" s="99"/>
      <c r="P155" s="99"/>
      <c r="Q155" s="99"/>
      <c r="R155" s="8">
        <f>N155*0.6</f>
        <v>333.80805744000003</v>
      </c>
      <c r="S155" s="8">
        <f>N155*0.4</f>
        <v>222.53870496000005</v>
      </c>
      <c r="T155" s="8"/>
      <c r="U155" s="8"/>
      <c r="V155" s="99"/>
      <c r="W155" s="8"/>
      <c r="X155" s="99" t="s">
        <v>236</v>
      </c>
      <c r="Y155" s="61">
        <f t="shared" si="118"/>
        <v>0</v>
      </c>
      <c r="Z155" s="110" t="str">
        <f>'CORE  2019'!W147</f>
        <v>y</v>
      </c>
    </row>
    <row r="156" spans="1:26">
      <c r="A156" t="str">
        <f>'CORE  2019'!B148</f>
        <v>131.04.01.02</v>
      </c>
      <c r="B156" t="str">
        <f>'CORE  2019'!C148</f>
        <v>Services Racks CUC</v>
      </c>
      <c r="C156" s="110" t="str">
        <f>'CORE  2019'!D148</f>
        <v>N/A</v>
      </c>
      <c r="D156" t="str">
        <f>'CORE  2019'!E148</f>
        <v>cable trays and supports in CUC</v>
      </c>
      <c r="E156" s="108">
        <f>'CORE  2019'!J148</f>
        <v>9.5043000000000006</v>
      </c>
      <c r="F156" s="94">
        <f t="shared" si="109"/>
        <v>0.2</v>
      </c>
      <c r="G156" s="93">
        <f t="shared" si="110"/>
        <v>1.9008600000000002</v>
      </c>
      <c r="H156" s="94">
        <f t="shared" si="111"/>
        <v>0.12</v>
      </c>
      <c r="I156" s="93">
        <f t="shared" si="112"/>
        <v>1.1405160000000001</v>
      </c>
      <c r="J156" s="95">
        <f t="shared" si="113"/>
        <v>7.8E-2</v>
      </c>
      <c r="K156" s="93">
        <f t="shared" si="114"/>
        <v>0.97856272799999999</v>
      </c>
      <c r="L156" s="95">
        <f t="shared" si="115"/>
        <v>8.5000000000000006E-2</v>
      </c>
      <c r="M156" s="93">
        <f t="shared" si="116"/>
        <v>0.80786550000000013</v>
      </c>
      <c r="N156" s="23">
        <f t="shared" si="117"/>
        <v>14.332104228</v>
      </c>
      <c r="O156" s="99"/>
      <c r="P156" s="99"/>
      <c r="Q156" s="99"/>
      <c r="R156" s="8">
        <f>N156*0.6</f>
        <v>8.5992625367999995</v>
      </c>
      <c r="S156" s="8">
        <f>N156*0.4</f>
        <v>5.7328416912000009</v>
      </c>
      <c r="T156" s="8"/>
      <c r="U156" s="8"/>
      <c r="V156" s="99"/>
      <c r="W156" s="8"/>
      <c r="X156" s="99" t="s">
        <v>236</v>
      </c>
      <c r="Y156" s="61">
        <f t="shared" si="118"/>
        <v>0</v>
      </c>
      <c r="Z156" s="110" t="str">
        <f>'CORE  2019'!W148</f>
        <v>y</v>
      </c>
    </row>
    <row r="157" spans="1:26">
      <c r="A157" t="str">
        <f>'CORE  2019'!B149</f>
        <v>131.04.01.02</v>
      </c>
      <c r="B157" t="str">
        <f>'CORE  2019'!C149</f>
        <v>UPS in CUC</v>
      </c>
      <c r="C157" s="110" t="str">
        <f>'CORE  2019'!D149</f>
        <v>N/A</v>
      </c>
      <c r="D157" t="str">
        <f>'CORE  2019'!E149</f>
        <v>UPS for all DAQ</v>
      </c>
      <c r="E157" s="108">
        <f>'CORE  2019'!J149</f>
        <v>481</v>
      </c>
      <c r="F157" s="94">
        <f t="shared" si="109"/>
        <v>0.2</v>
      </c>
      <c r="G157" s="93">
        <f t="shared" si="110"/>
        <v>96.2</v>
      </c>
      <c r="H157" s="94">
        <f t="shared" si="111"/>
        <v>0.12</v>
      </c>
      <c r="I157" s="93">
        <f t="shared" si="112"/>
        <v>57.72</v>
      </c>
      <c r="J157" s="95">
        <f t="shared" si="113"/>
        <v>7.8E-2</v>
      </c>
      <c r="K157" s="93">
        <f t="shared" si="114"/>
        <v>49.523760000000003</v>
      </c>
      <c r="L157" s="95">
        <f t="shared" si="115"/>
        <v>8.5000000000000006E-2</v>
      </c>
      <c r="M157" s="93">
        <f t="shared" si="116"/>
        <v>40.885000000000005</v>
      </c>
      <c r="N157" s="23">
        <f t="shared" si="117"/>
        <v>725.3287600000001</v>
      </c>
      <c r="O157" s="99"/>
      <c r="P157" s="99"/>
      <c r="Q157" s="99"/>
      <c r="R157" s="8">
        <f>N157*0.6</f>
        <v>435.19725600000004</v>
      </c>
      <c r="S157" s="8">
        <f>N157*0.4</f>
        <v>290.13150400000006</v>
      </c>
      <c r="T157" s="8"/>
      <c r="U157" s="8"/>
      <c r="V157" s="99"/>
      <c r="W157" s="8"/>
      <c r="X157" s="99" t="s">
        <v>236</v>
      </c>
      <c r="Y157" s="61">
        <f t="shared" si="118"/>
        <v>0</v>
      </c>
      <c r="Z157" s="110" t="str">
        <f>'CORE  2019'!W149</f>
        <v>y</v>
      </c>
    </row>
    <row r="158" spans="1:26">
      <c r="A158" t="s">
        <v>0</v>
      </c>
      <c r="B158" t="s">
        <v>0</v>
      </c>
      <c r="C158" s="110" t="s">
        <v>0</v>
      </c>
      <c r="D158" t="s">
        <v>0</v>
      </c>
      <c r="E158" s="108" t="s">
        <v>0</v>
      </c>
      <c r="F158" s="94" t="s">
        <v>0</v>
      </c>
      <c r="G158" s="93" t="s">
        <v>0</v>
      </c>
      <c r="H158" s="94" t="s">
        <v>0</v>
      </c>
      <c r="I158" s="93" t="s">
        <v>0</v>
      </c>
      <c r="J158" s="95" t="s">
        <v>0</v>
      </c>
      <c r="K158" s="93" t="s">
        <v>0</v>
      </c>
      <c r="L158" s="95" t="s">
        <v>0</v>
      </c>
      <c r="M158" s="93" t="s">
        <v>0</v>
      </c>
      <c r="N158" s="23" t="s">
        <v>0</v>
      </c>
      <c r="O158" s="99"/>
      <c r="P158" s="99"/>
      <c r="Q158" s="99"/>
      <c r="R158" s="8"/>
      <c r="S158" s="8"/>
      <c r="T158" s="8"/>
      <c r="U158" s="8"/>
      <c r="V158" s="99"/>
      <c r="W158" s="8"/>
      <c r="X158" s="99"/>
      <c r="Y158" s="8"/>
      <c r="Z158" s="110" t="str">
        <f>'CORE  2019'!W150</f>
        <v xml:space="preserve"> </v>
      </c>
    </row>
    <row r="159" spans="1:26">
      <c r="A159" t="s">
        <v>0</v>
      </c>
      <c r="B159" s="113" t="str">
        <f>'CORE  2019'!C151</f>
        <v xml:space="preserve">Cables/Fibers/Power-cables </v>
      </c>
      <c r="C159" s="119">
        <f>N168+N169</f>
        <v>1207.5532671999999</v>
      </c>
      <c r="D159" s="116">
        <f>SUM(N160:N167)+N170</f>
        <v>1747.5169383360003</v>
      </c>
      <c r="E159" s="108" t="s">
        <v>0</v>
      </c>
      <c r="G159" s="123"/>
      <c r="J159" s="149"/>
      <c r="K159" s="93" t="s">
        <v>0</v>
      </c>
      <c r="N159" s="23" t="s">
        <v>0</v>
      </c>
      <c r="O159" s="99"/>
      <c r="P159" s="99"/>
      <c r="Q159" s="99"/>
      <c r="R159" s="8"/>
      <c r="S159" s="8"/>
      <c r="T159" s="8"/>
      <c r="U159" s="8"/>
      <c r="V159" s="99"/>
      <c r="W159" s="8"/>
      <c r="X159" s="99"/>
      <c r="Y159" s="8"/>
      <c r="Z159" s="110" t="str">
        <f>'CORE  2019'!W151</f>
        <v xml:space="preserve"> </v>
      </c>
    </row>
    <row r="160" spans="1:26">
      <c r="A160" t="str">
        <f>'CORE  2019'!B152</f>
        <v>131.04.01.06</v>
      </c>
      <c r="B160" t="str">
        <f>'CORE  2019'!C152</f>
        <v xml:space="preserve">Cables/Fibers/Power-cables </v>
      </c>
      <c r="C160" s="110">
        <f>'CORE  2019'!D152</f>
        <v>1</v>
      </c>
      <c r="D160" t="str">
        <f>'CORE  2019'!E152</f>
        <v>fibers bundles APA on the detector roof</v>
      </c>
      <c r="E160" s="108">
        <f>'CORE  2019'!J152</f>
        <v>19.89</v>
      </c>
      <c r="F160" s="94">
        <f t="shared" ref="F160:F170" si="119">$A$7</f>
        <v>0.2</v>
      </c>
      <c r="G160" s="93">
        <f t="shared" ref="G160:G170" si="120">F160*E160</f>
        <v>3.9780000000000002</v>
      </c>
      <c r="H160" s="94">
        <f t="shared" ref="H160:H170" si="121">$A$9</f>
        <v>0.12</v>
      </c>
      <c r="I160" s="93">
        <f t="shared" ref="I160:I170" si="122">H160*E160</f>
        <v>2.3868</v>
      </c>
      <c r="J160" s="95">
        <f t="shared" ref="J160:J167" si="123">$A$3</f>
        <v>7.8E-2</v>
      </c>
      <c r="K160" s="93">
        <f t="shared" ref="K160:K170" si="124">($E160+$G160+$I160)*$J160</f>
        <v>2.0478744000000004</v>
      </c>
      <c r="L160" s="95">
        <f t="shared" ref="L160:L170" si="125">$A$11</f>
        <v>8.5000000000000006E-2</v>
      </c>
      <c r="M160" s="93">
        <f t="shared" ref="M160:M170" si="126">L160*E160</f>
        <v>1.6906500000000002</v>
      </c>
      <c r="N160" s="23">
        <f t="shared" ref="N160:N170" si="127">E160+G160+I160+K160+M160</f>
        <v>29.993324400000006</v>
      </c>
      <c r="O160" s="99"/>
      <c r="P160" s="99"/>
      <c r="Q160" s="99"/>
      <c r="R160" s="8">
        <f t="shared" ref="R160:R168" si="128">N160*0.6</f>
        <v>17.995994640000003</v>
      </c>
      <c r="S160" s="8">
        <f t="shared" ref="S160:S168" si="129">N160*0.4</f>
        <v>11.997329760000003</v>
      </c>
      <c r="T160" s="8"/>
      <c r="U160" s="8"/>
      <c r="V160" s="99"/>
      <c r="W160" s="8"/>
      <c r="X160" s="99" t="s">
        <v>236</v>
      </c>
      <c r="Y160" s="61">
        <f t="shared" ref="Y160:Y170" si="130">SUM(O160:W160)-N160</f>
        <v>0</v>
      </c>
      <c r="Z160" s="110" t="str">
        <f>'CORE  2019'!W152</f>
        <v>y</v>
      </c>
    </row>
    <row r="161" spans="1:26">
      <c r="A161" t="str">
        <f>'CORE  2019'!B153</f>
        <v>131.04.01.06</v>
      </c>
      <c r="B161" t="str">
        <f>'CORE  2019'!C153</f>
        <v xml:space="preserve">Cables/Fibers/Power-cables </v>
      </c>
      <c r="C161" s="110">
        <f>'CORE  2019'!D153</f>
        <v>1</v>
      </c>
      <c r="D161" t="str">
        <f>'CORE  2019'!E153</f>
        <v>pach panels for fibers APA</v>
      </c>
      <c r="E161" s="108">
        <f>'CORE  2019'!J153</f>
        <v>7.8650000000000002</v>
      </c>
      <c r="F161" s="94">
        <f t="shared" si="119"/>
        <v>0.2</v>
      </c>
      <c r="G161" s="93">
        <f t="shared" si="120"/>
        <v>1.5730000000000002</v>
      </c>
      <c r="H161" s="94">
        <f t="shared" si="121"/>
        <v>0.12</v>
      </c>
      <c r="I161" s="93">
        <f t="shared" si="122"/>
        <v>0.94379999999999997</v>
      </c>
      <c r="J161" s="95">
        <f t="shared" si="123"/>
        <v>7.8E-2</v>
      </c>
      <c r="K161" s="93">
        <f t="shared" si="124"/>
        <v>0.80978039999999996</v>
      </c>
      <c r="L161" s="95">
        <f t="shared" si="125"/>
        <v>8.5000000000000006E-2</v>
      </c>
      <c r="M161" s="93">
        <f t="shared" si="126"/>
        <v>0.66852500000000004</v>
      </c>
      <c r="N161" s="23">
        <f t="shared" si="127"/>
        <v>11.8601054</v>
      </c>
      <c r="O161" s="99"/>
      <c r="P161" s="99"/>
      <c r="Q161" s="99"/>
      <c r="R161" s="8">
        <f t="shared" si="128"/>
        <v>7.1160632399999999</v>
      </c>
      <c r="S161" s="8">
        <f t="shared" si="129"/>
        <v>4.7440421600000002</v>
      </c>
      <c r="T161" s="8"/>
      <c r="U161" s="8"/>
      <c r="V161" s="99"/>
      <c r="W161" s="8"/>
      <c r="X161" s="99" t="s">
        <v>236</v>
      </c>
      <c r="Y161" s="61">
        <f t="shared" si="130"/>
        <v>0</v>
      </c>
      <c r="Z161" s="110" t="str">
        <f>'CORE  2019'!W153</f>
        <v>y</v>
      </c>
    </row>
    <row r="162" spans="1:26">
      <c r="A162" t="str">
        <f>'CORE  2019'!B154</f>
        <v>131.04.01.06</v>
      </c>
      <c r="B162" t="str">
        <f>'CORE  2019'!C154</f>
        <v xml:space="preserve">Cables/Fibers/Power-cables </v>
      </c>
      <c r="C162" s="110">
        <f>'CORE  2019'!D154</f>
        <v>1</v>
      </c>
      <c r="D162" t="str">
        <f>'CORE  2019'!E154</f>
        <v>fibers cords to DAQ room</v>
      </c>
      <c r="E162" s="108">
        <f>'CORE  2019'!J154</f>
        <v>275.32440000000003</v>
      </c>
      <c r="F162" s="94">
        <f t="shared" si="119"/>
        <v>0.2</v>
      </c>
      <c r="G162" s="93">
        <f t="shared" si="120"/>
        <v>55.064880000000009</v>
      </c>
      <c r="H162" s="94">
        <f t="shared" si="121"/>
        <v>0.12</v>
      </c>
      <c r="I162" s="93">
        <f t="shared" si="122"/>
        <v>33.038927999999999</v>
      </c>
      <c r="J162" s="95">
        <f t="shared" si="123"/>
        <v>7.8E-2</v>
      </c>
      <c r="K162" s="93">
        <f t="shared" si="124"/>
        <v>28.347400224000005</v>
      </c>
      <c r="L162" s="95">
        <f t="shared" si="125"/>
        <v>8.5000000000000006E-2</v>
      </c>
      <c r="M162" s="93">
        <f t="shared" si="126"/>
        <v>23.402574000000005</v>
      </c>
      <c r="N162" s="23">
        <f t="shared" si="127"/>
        <v>415.17818222400007</v>
      </c>
      <c r="O162" s="99"/>
      <c r="P162" s="99"/>
      <c r="Q162" s="99"/>
      <c r="R162" s="8">
        <f t="shared" si="128"/>
        <v>249.10690933440003</v>
      </c>
      <c r="S162" s="8">
        <f t="shared" si="129"/>
        <v>166.07127288960004</v>
      </c>
      <c r="T162" s="8"/>
      <c r="U162" s="8"/>
      <c r="V162" s="99"/>
      <c r="W162" s="8"/>
      <c r="X162" s="99" t="s">
        <v>236</v>
      </c>
      <c r="Y162" s="61">
        <f t="shared" si="130"/>
        <v>0</v>
      </c>
      <c r="Z162" s="110" t="str">
        <f>'CORE  2019'!W154</f>
        <v>y</v>
      </c>
    </row>
    <row r="163" spans="1:26">
      <c r="A163" t="str">
        <f>'CORE  2019'!B155</f>
        <v>131.04.01.06</v>
      </c>
      <c r="B163" t="str">
        <f>'CORE  2019'!C155</f>
        <v xml:space="preserve">Cables/Fibers/Power-cables </v>
      </c>
      <c r="C163" s="110">
        <f>'CORE  2019'!D155</f>
        <v>1</v>
      </c>
      <c r="D163" t="str">
        <f>'CORE  2019'!E155</f>
        <v>ethernet cablesfrom DAQ room - det racks</v>
      </c>
      <c r="E163" s="108">
        <f>'CORE  2019'!J155</f>
        <v>55.262999999999998</v>
      </c>
      <c r="F163" s="94">
        <f t="shared" si="119"/>
        <v>0.2</v>
      </c>
      <c r="G163" s="93">
        <f t="shared" si="120"/>
        <v>11.0526</v>
      </c>
      <c r="H163" s="94">
        <f t="shared" si="121"/>
        <v>0.12</v>
      </c>
      <c r="I163" s="93">
        <f t="shared" si="122"/>
        <v>6.6315599999999995</v>
      </c>
      <c r="J163" s="95">
        <f t="shared" si="123"/>
        <v>7.8E-2</v>
      </c>
      <c r="K163" s="93">
        <f t="shared" si="124"/>
        <v>5.68987848</v>
      </c>
      <c r="L163" s="95">
        <f t="shared" si="125"/>
        <v>8.5000000000000006E-2</v>
      </c>
      <c r="M163" s="93">
        <f t="shared" si="126"/>
        <v>4.6973549999999999</v>
      </c>
      <c r="N163" s="23">
        <f t="shared" si="127"/>
        <v>83.334393480000003</v>
      </c>
      <c r="O163" s="99"/>
      <c r="P163" s="99"/>
      <c r="Q163" s="99"/>
      <c r="R163" s="8">
        <f t="shared" si="128"/>
        <v>50.000636088</v>
      </c>
      <c r="S163" s="8">
        <f t="shared" si="129"/>
        <v>33.333757392000003</v>
      </c>
      <c r="T163" s="8"/>
      <c r="U163" s="8"/>
      <c r="V163" s="99"/>
      <c r="W163" s="8"/>
      <c r="X163" s="99" t="s">
        <v>236</v>
      </c>
      <c r="Y163" s="61">
        <f t="shared" si="130"/>
        <v>0</v>
      </c>
      <c r="Z163" s="110" t="str">
        <f>'CORE  2019'!W155</f>
        <v>y</v>
      </c>
    </row>
    <row r="164" spans="1:26">
      <c r="A164" t="str">
        <f>'CORE  2019'!B156</f>
        <v>131.04.01.06</v>
      </c>
      <c r="B164" t="str">
        <f>'CORE  2019'!C156</f>
        <v xml:space="preserve">Cables/Fibers/Power-cables </v>
      </c>
      <c r="C164" s="110">
        <f>'CORE  2019'!D156</f>
        <v>1</v>
      </c>
      <c r="D164" t="str">
        <f>'CORE  2019'!E156</f>
        <v>control cables</v>
      </c>
      <c r="E164" s="108">
        <f>'CORE  2019'!J156</f>
        <v>12.09</v>
      </c>
      <c r="F164" s="94">
        <f t="shared" si="119"/>
        <v>0.2</v>
      </c>
      <c r="G164" s="93">
        <f t="shared" si="120"/>
        <v>2.4180000000000001</v>
      </c>
      <c r="H164" s="94">
        <f t="shared" si="121"/>
        <v>0.12</v>
      </c>
      <c r="I164" s="93">
        <f t="shared" si="122"/>
        <v>1.4507999999999999</v>
      </c>
      <c r="J164" s="95">
        <f t="shared" si="123"/>
        <v>7.8E-2</v>
      </c>
      <c r="K164" s="93">
        <f t="shared" si="124"/>
        <v>1.2447864</v>
      </c>
      <c r="L164" s="95">
        <f t="shared" si="125"/>
        <v>8.5000000000000006E-2</v>
      </c>
      <c r="M164" s="93">
        <f t="shared" si="126"/>
        <v>1.02765</v>
      </c>
      <c r="N164" s="23">
        <f t="shared" si="127"/>
        <v>18.2312364</v>
      </c>
      <c r="O164" s="99"/>
      <c r="P164" s="99"/>
      <c r="Q164" s="99"/>
      <c r="R164" s="8">
        <f t="shared" si="128"/>
        <v>10.93874184</v>
      </c>
      <c r="S164" s="8">
        <f t="shared" si="129"/>
        <v>7.2924945600000006</v>
      </c>
      <c r="T164" s="8"/>
      <c r="U164" s="8"/>
      <c r="V164" s="99"/>
      <c r="W164" s="8"/>
      <c r="X164" s="99" t="s">
        <v>236</v>
      </c>
      <c r="Y164" s="61">
        <f t="shared" si="130"/>
        <v>0</v>
      </c>
      <c r="Z164" s="110" t="str">
        <f>'CORE  2019'!W156</f>
        <v>y</v>
      </c>
    </row>
    <row r="165" spans="1:26">
      <c r="A165" t="str">
        <f>'CORE  2019'!B157</f>
        <v>131.04.01.06</v>
      </c>
      <c r="B165" t="str">
        <f>'CORE  2019'!C157</f>
        <v xml:space="preserve">Cables/Fibers/Power-cables </v>
      </c>
      <c r="C165" s="110">
        <f>'CORE  2019'!D157</f>
        <v>1</v>
      </c>
      <c r="D165" t="str">
        <f>'CORE  2019'!E157</f>
        <v>power cables on the detector roof</v>
      </c>
      <c r="E165" s="108">
        <f>'CORE  2019'!J157</f>
        <v>104.4576</v>
      </c>
      <c r="F165" s="94">
        <f t="shared" si="119"/>
        <v>0.2</v>
      </c>
      <c r="G165" s="93">
        <f t="shared" si="120"/>
        <v>20.89152</v>
      </c>
      <c r="H165" s="94">
        <f t="shared" si="121"/>
        <v>0.12</v>
      </c>
      <c r="I165" s="93">
        <f t="shared" si="122"/>
        <v>12.534912</v>
      </c>
      <c r="J165" s="95">
        <f t="shared" si="123"/>
        <v>7.8E-2</v>
      </c>
      <c r="K165" s="93">
        <f t="shared" si="124"/>
        <v>10.754954496</v>
      </c>
      <c r="L165" s="95">
        <f t="shared" si="125"/>
        <v>8.5000000000000006E-2</v>
      </c>
      <c r="M165" s="93">
        <f t="shared" si="126"/>
        <v>8.878896000000001</v>
      </c>
      <c r="N165" s="23">
        <f t="shared" si="127"/>
        <v>157.517882496</v>
      </c>
      <c r="O165" s="99"/>
      <c r="P165" s="99"/>
      <c r="Q165" s="99"/>
      <c r="R165" s="8">
        <f t="shared" si="128"/>
        <v>94.510729497599996</v>
      </c>
      <c r="S165" s="8">
        <f t="shared" si="129"/>
        <v>63.007152998400002</v>
      </c>
      <c r="T165" s="8"/>
      <c r="U165" s="8"/>
      <c r="V165" s="99"/>
      <c r="W165" s="8"/>
      <c r="X165" s="99" t="s">
        <v>236</v>
      </c>
      <c r="Y165" s="61">
        <f t="shared" si="130"/>
        <v>0</v>
      </c>
      <c r="Z165" s="110" t="str">
        <f>'CORE  2019'!W157</f>
        <v>y</v>
      </c>
    </row>
    <row r="166" spans="1:26">
      <c r="A166" t="str">
        <f>'CORE  2019'!B158</f>
        <v>131.04.01.06</v>
      </c>
      <c r="B166" t="str">
        <f>'CORE  2019'!C158</f>
        <v xml:space="preserve">Cables/Fibers/Power-cables </v>
      </c>
      <c r="C166" s="110">
        <f>'CORE  2019'!D158</f>
        <v>1</v>
      </c>
      <c r="D166" t="str">
        <f>'CORE  2019'!E158</f>
        <v>power cables to tranformers</v>
      </c>
      <c r="E166" s="108">
        <f>'CORE  2019'!J158</f>
        <v>60.652800000000006</v>
      </c>
      <c r="F166" s="94">
        <f t="shared" si="119"/>
        <v>0.2</v>
      </c>
      <c r="G166" s="93">
        <f t="shared" si="120"/>
        <v>12.130560000000003</v>
      </c>
      <c r="H166" s="94">
        <f t="shared" si="121"/>
        <v>0.12</v>
      </c>
      <c r="I166" s="93">
        <f t="shared" si="122"/>
        <v>7.2783360000000004</v>
      </c>
      <c r="J166" s="95">
        <f t="shared" si="123"/>
        <v>7.8E-2</v>
      </c>
      <c r="K166" s="93">
        <f t="shared" si="124"/>
        <v>6.2448122880000012</v>
      </c>
      <c r="L166" s="95">
        <f t="shared" si="125"/>
        <v>8.5000000000000006E-2</v>
      </c>
      <c r="M166" s="93">
        <f t="shared" si="126"/>
        <v>5.155488000000001</v>
      </c>
      <c r="N166" s="23">
        <f t="shared" si="127"/>
        <v>91.461996288000023</v>
      </c>
      <c r="O166" s="99"/>
      <c r="P166" s="99"/>
      <c r="Q166" s="99"/>
      <c r="R166" s="8">
        <f t="shared" si="128"/>
        <v>54.87719777280001</v>
      </c>
      <c r="S166" s="8">
        <f t="shared" si="129"/>
        <v>36.584798515200013</v>
      </c>
      <c r="T166" s="8"/>
      <c r="U166" s="8"/>
      <c r="V166" s="99"/>
      <c r="W166" s="8"/>
      <c r="X166" s="99" t="s">
        <v>236</v>
      </c>
      <c r="Y166" s="61">
        <f t="shared" si="130"/>
        <v>0</v>
      </c>
      <c r="Z166" s="110" t="str">
        <f>'CORE  2019'!W158</f>
        <v>y</v>
      </c>
    </row>
    <row r="167" spans="1:26">
      <c r="A167" t="str">
        <f>'CORE  2019'!B159</f>
        <v>131.04.01.06</v>
      </c>
      <c r="B167" t="str">
        <f>'CORE  2019'!C159</f>
        <v xml:space="preserve">Cables/Fibers/Power-cables </v>
      </c>
      <c r="C167" s="110">
        <f>'CORE  2019'!D159</f>
        <v>1</v>
      </c>
      <c r="D167" t="str">
        <f>'CORE  2019'!E159</f>
        <v>transformers for ground decoupling</v>
      </c>
      <c r="E167" s="108">
        <f>'CORE  2019'!J159</f>
        <v>43.887999999999998</v>
      </c>
      <c r="F167" s="94">
        <f t="shared" si="119"/>
        <v>0.2</v>
      </c>
      <c r="G167" s="93">
        <f t="shared" si="120"/>
        <v>8.7775999999999996</v>
      </c>
      <c r="H167" s="94">
        <f t="shared" si="121"/>
        <v>0.12</v>
      </c>
      <c r="I167" s="93">
        <f t="shared" si="122"/>
        <v>5.2665599999999992</v>
      </c>
      <c r="J167" s="95">
        <f t="shared" si="123"/>
        <v>7.8E-2</v>
      </c>
      <c r="K167" s="93">
        <f t="shared" si="124"/>
        <v>4.5187084799999999</v>
      </c>
      <c r="L167" s="95">
        <f t="shared" si="125"/>
        <v>8.5000000000000006E-2</v>
      </c>
      <c r="M167" s="93">
        <f t="shared" si="126"/>
        <v>3.73048</v>
      </c>
      <c r="N167" s="23">
        <f t="shared" si="127"/>
        <v>66.181348479999997</v>
      </c>
      <c r="O167" s="99"/>
      <c r="P167" s="99"/>
      <c r="Q167" s="99"/>
      <c r="R167" s="8">
        <f t="shared" si="128"/>
        <v>39.708809087999995</v>
      </c>
      <c r="S167" s="8">
        <f t="shared" si="129"/>
        <v>26.472539392000002</v>
      </c>
      <c r="T167" s="8"/>
      <c r="U167" s="8"/>
      <c r="V167" s="99"/>
      <c r="W167" s="8"/>
      <c r="X167" s="99" t="s">
        <v>236</v>
      </c>
      <c r="Y167" s="61">
        <f t="shared" si="130"/>
        <v>0</v>
      </c>
      <c r="Z167" s="110" t="str">
        <f>'CORE  2019'!W159</f>
        <v>y</v>
      </c>
    </row>
    <row r="168" spans="1:26">
      <c r="A168" t="str">
        <f>'CORE  2019'!B160</f>
        <v>131.04.01.07</v>
      </c>
      <c r="B168" t="str">
        <f>'CORE  2019'!C160</f>
        <v xml:space="preserve">Cables/Fibers/labor </v>
      </c>
      <c r="C168" s="110">
        <f>'CORE  2019'!D160</f>
        <v>1</v>
      </c>
      <c r="D168" t="str">
        <f>'CORE  2019'!E160</f>
        <v>installation 2 FTE per 1 year</v>
      </c>
      <c r="E168" s="108">
        <f>'CORE  2019'!J160</f>
        <v>199.55600000000001</v>
      </c>
      <c r="F168" s="94">
        <f>$A$6</f>
        <v>0.1</v>
      </c>
      <c r="G168" s="93">
        <f t="shared" si="120"/>
        <v>19.955600000000004</v>
      </c>
      <c r="H168" s="94">
        <f t="shared" si="121"/>
        <v>0.12</v>
      </c>
      <c r="I168" s="93">
        <f t="shared" si="122"/>
        <v>23.946719999999999</v>
      </c>
      <c r="J168" s="95">
        <f>$A$5</f>
        <v>1.48</v>
      </c>
      <c r="K168" s="93">
        <f t="shared" si="124"/>
        <v>360.31831360000001</v>
      </c>
      <c r="L168" s="95">
        <v>0</v>
      </c>
      <c r="M168" s="93">
        <f t="shared" si="126"/>
        <v>0</v>
      </c>
      <c r="N168" s="23">
        <f t="shared" si="127"/>
        <v>603.77663359999997</v>
      </c>
      <c r="O168" s="99"/>
      <c r="P168" s="99"/>
      <c r="Q168" s="99"/>
      <c r="R168" s="8">
        <f t="shared" si="128"/>
        <v>362.26598015999997</v>
      </c>
      <c r="S168" s="8">
        <f t="shared" si="129"/>
        <v>241.51065344</v>
      </c>
      <c r="T168" s="8"/>
      <c r="U168" s="8"/>
      <c r="V168" s="99"/>
      <c r="W168" s="8"/>
      <c r="X168" s="99" t="s">
        <v>233</v>
      </c>
      <c r="Y168" s="61">
        <f t="shared" si="130"/>
        <v>0</v>
      </c>
      <c r="Z168" s="110" t="str">
        <f>'CORE  2019'!W160</f>
        <v>y</v>
      </c>
    </row>
    <row r="169" spans="1:26">
      <c r="A169" t="str">
        <f>'CORE  2019'!B161</f>
        <v>131.04.01.07</v>
      </c>
      <c r="B169" t="str">
        <f>'CORE  2019'!C161</f>
        <v xml:space="preserve">Cables/Fibers/labor </v>
      </c>
      <c r="C169" s="110">
        <f>'CORE  2019'!D161</f>
        <v>2</v>
      </c>
      <c r="D169" t="str">
        <f>'CORE  2019'!E161</f>
        <v>installation; same as det1</v>
      </c>
      <c r="E169" s="108">
        <f>'CORE  2019'!J161</f>
        <v>199.55600000000001</v>
      </c>
      <c r="F169" s="94">
        <f>$A$6</f>
        <v>0.1</v>
      </c>
      <c r="G169" s="93">
        <f t="shared" si="120"/>
        <v>19.955600000000004</v>
      </c>
      <c r="H169" s="94">
        <f t="shared" si="121"/>
        <v>0.12</v>
      </c>
      <c r="I169" s="93">
        <f t="shared" si="122"/>
        <v>23.946719999999999</v>
      </c>
      <c r="J169" s="95">
        <f>$A$5</f>
        <v>1.48</v>
      </c>
      <c r="K169" s="93">
        <f t="shared" si="124"/>
        <v>360.31831360000001</v>
      </c>
      <c r="L169" s="95">
        <v>0</v>
      </c>
      <c r="M169" s="93">
        <f t="shared" si="126"/>
        <v>0</v>
      </c>
      <c r="N169" s="23">
        <f t="shared" si="127"/>
        <v>603.77663359999997</v>
      </c>
      <c r="O169" s="99"/>
      <c r="P169" s="99"/>
      <c r="Q169" s="99"/>
      <c r="R169" s="8"/>
      <c r="S169" s="8"/>
      <c r="T169" s="8">
        <f>N169*0.7</f>
        <v>422.64364351999996</v>
      </c>
      <c r="U169" s="8">
        <f>N169*0.3</f>
        <v>181.13299007999998</v>
      </c>
      <c r="V169" s="99"/>
      <c r="W169" s="8"/>
      <c r="X169" s="99" t="s">
        <v>233</v>
      </c>
      <c r="Y169" s="61">
        <f t="shared" si="130"/>
        <v>0</v>
      </c>
      <c r="Z169" s="110" t="str">
        <f>'CORE  2019'!W161</f>
        <v>y</v>
      </c>
    </row>
    <row r="170" spans="1:26">
      <c r="A170" t="str">
        <f>'CORE  2019'!B162</f>
        <v>131.04.01.07</v>
      </c>
      <c r="B170" t="str">
        <f>'CORE  2019'!C162</f>
        <v xml:space="preserve">Cables/Fibers/Power-cables </v>
      </c>
      <c r="C170" s="110">
        <f>'CORE  2019'!D162</f>
        <v>2</v>
      </c>
      <c r="D170" t="str">
        <f>'CORE  2019'!E162</f>
        <v>M&amp;S same as det1</v>
      </c>
      <c r="E170" s="108">
        <f>'CORE  2019'!J162</f>
        <v>579.43079999999998</v>
      </c>
      <c r="F170" s="94">
        <f t="shared" si="119"/>
        <v>0.2</v>
      </c>
      <c r="G170" s="93">
        <f t="shared" si="120"/>
        <v>115.88616</v>
      </c>
      <c r="H170" s="94">
        <f t="shared" si="121"/>
        <v>0.12</v>
      </c>
      <c r="I170" s="93">
        <f t="shared" si="122"/>
        <v>69.531695999999997</v>
      </c>
      <c r="J170" s="95">
        <f>$A$3</f>
        <v>7.8E-2</v>
      </c>
      <c r="K170" s="93">
        <f t="shared" si="124"/>
        <v>59.658195167999999</v>
      </c>
      <c r="L170" s="95">
        <f t="shared" si="125"/>
        <v>8.5000000000000006E-2</v>
      </c>
      <c r="M170" s="93">
        <f t="shared" si="126"/>
        <v>49.251618000000001</v>
      </c>
      <c r="N170" s="23">
        <f t="shared" si="127"/>
        <v>873.75846916800003</v>
      </c>
      <c r="O170" s="99"/>
      <c r="P170" s="99"/>
      <c r="Q170" s="99"/>
      <c r="R170" s="8"/>
      <c r="S170" s="8"/>
      <c r="T170" s="8">
        <f>N170*0.7</f>
        <v>611.63092841759999</v>
      </c>
      <c r="U170" s="8">
        <f>N170*0.3</f>
        <v>262.12754075039999</v>
      </c>
      <c r="V170" s="99"/>
      <c r="W170" s="8"/>
      <c r="X170" s="99" t="s">
        <v>236</v>
      </c>
      <c r="Y170" s="61">
        <f t="shared" si="130"/>
        <v>0</v>
      </c>
      <c r="Z170" s="110" t="str">
        <f>'CORE  2019'!W162</f>
        <v>y</v>
      </c>
    </row>
    <row r="171" spans="1:26">
      <c r="A171" t="s">
        <v>0</v>
      </c>
      <c r="B171" t="s">
        <v>0</v>
      </c>
      <c r="C171" s="110" t="s">
        <v>0</v>
      </c>
      <c r="D171" t="s">
        <v>0</v>
      </c>
      <c r="E171" s="108" t="s">
        <v>0</v>
      </c>
      <c r="G171" s="123"/>
      <c r="J171" s="149"/>
      <c r="K171" s="93" t="s">
        <v>0</v>
      </c>
      <c r="N171" s="23" t="s">
        <v>0</v>
      </c>
      <c r="O171" s="99"/>
      <c r="P171" s="99"/>
      <c r="Q171" s="99"/>
      <c r="R171" s="8"/>
      <c r="S171" s="8"/>
      <c r="T171" s="8"/>
      <c r="U171" s="8"/>
      <c r="V171" s="99"/>
      <c r="W171" s="8"/>
      <c r="X171" s="99"/>
      <c r="Y171" s="8"/>
      <c r="Z171" s="110" t="str">
        <f>'CORE  2019'!W163</f>
        <v xml:space="preserve"> </v>
      </c>
    </row>
    <row r="172" spans="1:26">
      <c r="A172" t="s">
        <v>0</v>
      </c>
      <c r="B172" s="113" t="str">
        <f>'CORE  2019'!C164</f>
        <v>Storage/offices/varia</v>
      </c>
      <c r="C172" s="117">
        <f>SUM(N176:N185)</f>
        <v>16194.09101312</v>
      </c>
      <c r="D172" s="116">
        <f>SUM(N173:N175)</f>
        <v>1019.9690644</v>
      </c>
      <c r="E172" s="108" t="s">
        <v>0</v>
      </c>
      <c r="G172" s="123"/>
      <c r="J172" s="149"/>
      <c r="K172" s="93" t="s">
        <v>0</v>
      </c>
      <c r="N172" s="23" t="s">
        <v>0</v>
      </c>
      <c r="O172" s="99"/>
      <c r="P172" s="99"/>
      <c r="Q172" s="99"/>
      <c r="R172" s="8"/>
      <c r="S172" s="8"/>
      <c r="T172" s="8"/>
      <c r="U172" s="8"/>
      <c r="V172" s="99"/>
      <c r="W172" s="8"/>
      <c r="X172" s="99"/>
      <c r="Y172" s="8"/>
      <c r="Z172" s="110" t="str">
        <f>'CORE  2019'!W164</f>
        <v xml:space="preserve"> </v>
      </c>
    </row>
    <row r="173" spans="1:26">
      <c r="A173" t="str">
        <f>'CORE  2019'!B165</f>
        <v>131.04.01.02</v>
      </c>
      <c r="B173" t="str">
        <f>'CORE  2019'!C165</f>
        <v>Storage/offices/varia</v>
      </c>
      <c r="C173" s="110" t="str">
        <f>'CORE  2019'!D165</f>
        <v>N/A</v>
      </c>
      <c r="D173" t="str">
        <f>'CORE  2019'!E165</f>
        <v>tools sets mechanis, optics</v>
      </c>
      <c r="E173" s="108">
        <f>'CORE  2019'!J165</f>
        <v>55.210999999999999</v>
      </c>
      <c r="F173" s="94">
        <f t="shared" ref="F173:F185" si="131">$A$7</f>
        <v>0.2</v>
      </c>
      <c r="G173" s="93">
        <f t="shared" ref="G173:G185" si="132">F173*E173</f>
        <v>11.042200000000001</v>
      </c>
      <c r="H173" s="94">
        <f t="shared" ref="H173:H185" si="133">$A$9</f>
        <v>0.12</v>
      </c>
      <c r="I173" s="93">
        <f t="shared" ref="I173:I185" si="134">H173*E173</f>
        <v>6.6253199999999994</v>
      </c>
      <c r="J173" s="95">
        <f t="shared" ref="J173:J185" si="135">$A$3</f>
        <v>7.8E-2</v>
      </c>
      <c r="K173" s="93">
        <f t="shared" ref="K173:K185" si="136">($E173+$G173+$I173)*$J173</f>
        <v>5.6845245599999998</v>
      </c>
      <c r="L173" s="95">
        <f t="shared" ref="L173:L185" si="137">$A$11</f>
        <v>8.5000000000000006E-2</v>
      </c>
      <c r="M173" s="93">
        <f t="shared" ref="M173:M185" si="138">L173*E173</f>
        <v>4.6929350000000003</v>
      </c>
      <c r="N173" s="23">
        <f t="shared" ref="N173:N185" si="139">E173+G173+I173+K173+M173</f>
        <v>83.25597956</v>
      </c>
      <c r="O173" s="99"/>
      <c r="P173" s="99"/>
      <c r="Q173" s="99">
        <f>N173</f>
        <v>83.25597956</v>
      </c>
      <c r="R173" s="8"/>
      <c r="S173" s="8"/>
      <c r="T173" s="8"/>
      <c r="U173" s="8"/>
      <c r="V173" s="99"/>
      <c r="W173" s="8"/>
      <c r="X173" s="99" t="s">
        <v>236</v>
      </c>
      <c r="Y173" s="61">
        <f t="shared" ref="Y173:Y184" si="140">SUM(O173:W173)-N173</f>
        <v>0</v>
      </c>
      <c r="Z173" s="110" t="str">
        <f>'CORE  2019'!W165</f>
        <v>y</v>
      </c>
    </row>
    <row r="174" spans="1:26">
      <c r="A174" t="str">
        <f>'CORE  2019'!B166</f>
        <v>131.04.01.02</v>
      </c>
      <c r="B174" t="str">
        <f>'CORE  2019'!C166</f>
        <v>Storage/offices/varia</v>
      </c>
      <c r="C174" s="110" t="str">
        <f>'CORE  2019'!D166</f>
        <v>N/A</v>
      </c>
      <c r="D174" t="str">
        <f>'CORE  2019'!E166</f>
        <v>tools electronics</v>
      </c>
      <c r="E174" s="108">
        <f>'CORE  2019'!J166</f>
        <v>211.679</v>
      </c>
      <c r="F174" s="94">
        <f t="shared" si="131"/>
        <v>0.2</v>
      </c>
      <c r="G174" s="93">
        <f t="shared" si="132"/>
        <v>42.335800000000006</v>
      </c>
      <c r="H174" s="94">
        <f t="shared" si="133"/>
        <v>0.12</v>
      </c>
      <c r="I174" s="93">
        <f t="shared" si="134"/>
        <v>25.401479999999999</v>
      </c>
      <c r="J174" s="95">
        <f t="shared" si="135"/>
        <v>7.8E-2</v>
      </c>
      <c r="K174" s="93">
        <f t="shared" si="136"/>
        <v>21.794469840000001</v>
      </c>
      <c r="L174" s="95">
        <f t="shared" si="137"/>
        <v>8.5000000000000006E-2</v>
      </c>
      <c r="M174" s="93">
        <f t="shared" si="138"/>
        <v>17.992715</v>
      </c>
      <c r="N174" s="23">
        <f t="shared" si="139"/>
        <v>319.20346483999998</v>
      </c>
      <c r="O174" s="99"/>
      <c r="P174" s="99"/>
      <c r="Q174" s="99">
        <f>N174/2</f>
        <v>159.60173241999999</v>
      </c>
      <c r="R174" s="8">
        <f>N174/2</f>
        <v>159.60173241999999</v>
      </c>
      <c r="S174" s="8"/>
      <c r="T174" s="8"/>
      <c r="U174" s="8"/>
      <c r="V174" s="99"/>
      <c r="W174" s="8"/>
      <c r="X174" s="99" t="s">
        <v>236</v>
      </c>
      <c r="Y174" s="61">
        <f t="shared" si="140"/>
        <v>0</v>
      </c>
      <c r="Z174" s="110" t="str">
        <f>'CORE  2019'!W166</f>
        <v>y</v>
      </c>
    </row>
    <row r="175" spans="1:26">
      <c r="A175" t="str">
        <f>'CORE  2019'!B167</f>
        <v>131.04.01.02</v>
      </c>
      <c r="B175" t="str">
        <f>'CORE  2019'!C167</f>
        <v>Storage/offices/varia</v>
      </c>
      <c r="C175" s="110" t="str">
        <f>'CORE  2019'!D167</f>
        <v>N/A</v>
      </c>
      <c r="D175" t="str">
        <f>'CORE  2019'!E167</f>
        <v>consumables</v>
      </c>
      <c r="E175" s="108">
        <f>'CORE  2019'!J167</f>
        <v>409.5</v>
      </c>
      <c r="F175" s="94">
        <f t="shared" si="131"/>
        <v>0.2</v>
      </c>
      <c r="G175" s="93">
        <f t="shared" si="132"/>
        <v>81.900000000000006</v>
      </c>
      <c r="H175" s="94">
        <f t="shared" si="133"/>
        <v>0.12</v>
      </c>
      <c r="I175" s="93">
        <f t="shared" si="134"/>
        <v>49.14</v>
      </c>
      <c r="J175" s="95">
        <f t="shared" si="135"/>
        <v>7.8E-2</v>
      </c>
      <c r="K175" s="93">
        <f t="shared" si="136"/>
        <v>42.162119999999994</v>
      </c>
      <c r="L175" s="95">
        <f t="shared" si="137"/>
        <v>8.5000000000000006E-2</v>
      </c>
      <c r="M175" s="93">
        <f t="shared" si="138"/>
        <v>34.807500000000005</v>
      </c>
      <c r="N175" s="23">
        <f t="shared" si="139"/>
        <v>617.50961999999993</v>
      </c>
      <c r="O175" s="99"/>
      <c r="P175" s="99"/>
      <c r="Q175" s="99">
        <f t="shared" ref="Q175:W175" si="141">$N175/7</f>
        <v>88.215659999999986</v>
      </c>
      <c r="R175" s="99">
        <f t="shared" si="141"/>
        <v>88.215659999999986</v>
      </c>
      <c r="S175" s="99">
        <f t="shared" si="141"/>
        <v>88.215659999999986</v>
      </c>
      <c r="T175" s="99">
        <f t="shared" si="141"/>
        <v>88.215659999999986</v>
      </c>
      <c r="U175" s="99">
        <f t="shared" si="141"/>
        <v>88.215659999999986</v>
      </c>
      <c r="V175" s="99">
        <f t="shared" si="141"/>
        <v>88.215659999999986</v>
      </c>
      <c r="W175" s="99">
        <f t="shared" si="141"/>
        <v>88.215659999999986</v>
      </c>
      <c r="X175" s="102" t="s">
        <v>236</v>
      </c>
      <c r="Y175" s="61">
        <f t="shared" si="140"/>
        <v>0</v>
      </c>
      <c r="Z175" s="110" t="str">
        <f>'CORE  2019'!W167</f>
        <v>y</v>
      </c>
    </row>
    <row r="176" spans="1:26">
      <c r="A176" t="str">
        <f>'CORE  2019'!B168</f>
        <v>131.04.01.02</v>
      </c>
      <c r="B176" t="str">
        <f>'CORE  2019'!C168</f>
        <v>Storage/offices/varia</v>
      </c>
      <c r="C176" s="110" t="str">
        <f>'CORE  2019'!D168</f>
        <v>N/A</v>
      </c>
      <c r="D176" t="str">
        <f>'CORE  2019'!E168</f>
        <v>offices in trailors complex</v>
      </c>
      <c r="E176" s="108">
        <f>'CORE  2019'!J168</f>
        <v>490</v>
      </c>
      <c r="F176" s="94">
        <f t="shared" si="131"/>
        <v>0.2</v>
      </c>
      <c r="G176" s="93">
        <f t="shared" si="132"/>
        <v>98</v>
      </c>
      <c r="H176" s="94">
        <f t="shared" si="133"/>
        <v>0.12</v>
      </c>
      <c r="I176" s="93">
        <f t="shared" si="134"/>
        <v>58.8</v>
      </c>
      <c r="J176" s="95">
        <f t="shared" si="135"/>
        <v>7.8E-2</v>
      </c>
      <c r="K176" s="93">
        <f t="shared" si="136"/>
        <v>50.450399999999995</v>
      </c>
      <c r="L176" s="95">
        <f t="shared" si="137"/>
        <v>8.5000000000000006E-2</v>
      </c>
      <c r="M176" s="93">
        <f t="shared" si="138"/>
        <v>41.650000000000006</v>
      </c>
      <c r="N176" s="23">
        <f t="shared" si="139"/>
        <v>738.90039999999988</v>
      </c>
      <c r="O176" s="99"/>
      <c r="P176" s="97"/>
      <c r="Q176" s="99">
        <f>N176</f>
        <v>738.90039999999988</v>
      </c>
      <c r="R176" s="8"/>
      <c r="S176" s="8"/>
      <c r="T176" s="8"/>
      <c r="U176" s="8"/>
      <c r="V176" s="99"/>
      <c r="W176" s="8"/>
      <c r="X176" s="103" t="s">
        <v>231</v>
      </c>
      <c r="Y176" s="61">
        <f t="shared" si="140"/>
        <v>0</v>
      </c>
      <c r="Z176" s="110" t="str">
        <f>'CORE  2019'!W168</f>
        <v>y</v>
      </c>
    </row>
    <row r="177" spans="1:26">
      <c r="A177" t="str">
        <f>'CORE  2019'!B169</f>
        <v>131.04.01.02</v>
      </c>
      <c r="B177" t="str">
        <f>'CORE  2019'!C169</f>
        <v>Storage/offices/varia</v>
      </c>
      <c r="C177" s="110" t="str">
        <f>'CORE  2019'!D169</f>
        <v>N/A</v>
      </c>
      <c r="D177" t="str">
        <f>'CORE  2019'!E169</f>
        <v>logistic software</v>
      </c>
      <c r="E177" s="108">
        <f>'CORE  2019'!J169</f>
        <v>65</v>
      </c>
      <c r="F177" s="94">
        <f t="shared" si="131"/>
        <v>0.2</v>
      </c>
      <c r="G177" s="93">
        <f t="shared" si="132"/>
        <v>13</v>
      </c>
      <c r="H177" s="94">
        <f t="shared" si="133"/>
        <v>0.12</v>
      </c>
      <c r="I177" s="93">
        <f t="shared" si="134"/>
        <v>7.8</v>
      </c>
      <c r="J177" s="95">
        <f t="shared" si="135"/>
        <v>7.8E-2</v>
      </c>
      <c r="K177" s="93">
        <f t="shared" si="136"/>
        <v>6.6924000000000001</v>
      </c>
      <c r="L177" s="95">
        <f t="shared" si="137"/>
        <v>8.5000000000000006E-2</v>
      </c>
      <c r="M177" s="93">
        <f t="shared" si="138"/>
        <v>5.5250000000000004</v>
      </c>
      <c r="N177" s="23">
        <f t="shared" si="139"/>
        <v>98.017400000000009</v>
      </c>
      <c r="O177" s="99"/>
      <c r="P177" s="97"/>
      <c r="Q177" s="99">
        <f>N177</f>
        <v>98.017400000000009</v>
      </c>
      <c r="R177" s="8"/>
      <c r="S177" s="8"/>
      <c r="T177" s="8"/>
      <c r="U177" s="8"/>
      <c r="V177" s="99"/>
      <c r="W177" s="8"/>
      <c r="X177" s="103" t="s">
        <v>231</v>
      </c>
      <c r="Y177" s="61">
        <f t="shared" si="140"/>
        <v>0</v>
      </c>
      <c r="Z177" s="110" t="str">
        <f>'CORE  2019'!W169</f>
        <v>y</v>
      </c>
    </row>
    <row r="178" spans="1:26">
      <c r="A178" t="str">
        <f>'CORE  2019'!B170</f>
        <v>131.04.01.02</v>
      </c>
      <c r="B178" t="str">
        <f>'CORE  2019'!C170</f>
        <v>Storage/offices/varia</v>
      </c>
      <c r="C178" s="110" t="str">
        <f>'CORE  2019'!D170</f>
        <v>N/A</v>
      </c>
      <c r="D178" t="str">
        <f>'CORE  2019'!E170</f>
        <v>storage area rent (t0-2 to t0+4)</v>
      </c>
      <c r="E178" s="108">
        <f>'CORE  2019'!J170</f>
        <v>7000</v>
      </c>
      <c r="F178" s="94">
        <f t="shared" si="131"/>
        <v>0.2</v>
      </c>
      <c r="G178" s="93">
        <f t="shared" si="132"/>
        <v>1400</v>
      </c>
      <c r="H178" s="94">
        <f t="shared" si="133"/>
        <v>0.12</v>
      </c>
      <c r="I178" s="93">
        <f t="shared" si="134"/>
        <v>840</v>
      </c>
      <c r="J178" s="95">
        <f t="shared" si="135"/>
        <v>7.8E-2</v>
      </c>
      <c r="K178" s="93">
        <f t="shared" si="136"/>
        <v>720.72</v>
      </c>
      <c r="L178" s="95">
        <f t="shared" si="137"/>
        <v>8.5000000000000006E-2</v>
      </c>
      <c r="M178" s="93">
        <f t="shared" si="138"/>
        <v>595</v>
      </c>
      <c r="N178" s="23">
        <f t="shared" si="139"/>
        <v>10555.72</v>
      </c>
      <c r="O178" s="99"/>
      <c r="P178" s="99"/>
      <c r="Q178" s="99">
        <f t="shared" ref="Q178:W178" si="142">$N178/7</f>
        <v>1507.9599999999998</v>
      </c>
      <c r="R178" s="99">
        <f t="shared" si="142"/>
        <v>1507.9599999999998</v>
      </c>
      <c r="S178" s="99">
        <f t="shared" si="142"/>
        <v>1507.9599999999998</v>
      </c>
      <c r="T178" s="99">
        <f t="shared" si="142"/>
        <v>1507.9599999999998</v>
      </c>
      <c r="U178" s="99">
        <f t="shared" si="142"/>
        <v>1507.9599999999998</v>
      </c>
      <c r="V178" s="99">
        <f t="shared" si="142"/>
        <v>1507.9599999999998</v>
      </c>
      <c r="W178" s="99">
        <f t="shared" si="142"/>
        <v>1507.9599999999998</v>
      </c>
      <c r="X178" s="103" t="s">
        <v>231</v>
      </c>
      <c r="Y178" s="61">
        <f t="shared" si="140"/>
        <v>0</v>
      </c>
      <c r="Z178" s="110" t="str">
        <f>'CORE  2019'!W170</f>
        <v>y</v>
      </c>
    </row>
    <row r="179" spans="1:26">
      <c r="A179" t="str">
        <f>'CORE  2019'!B171</f>
        <v>131.04.01.02</v>
      </c>
      <c r="B179" t="str">
        <f>'CORE  2019'!C171</f>
        <v>Storage/offices/varia</v>
      </c>
      <c r="C179" s="110" t="str">
        <f>'CORE  2019'!D171</f>
        <v>N/A</v>
      </c>
      <c r="D179" t="str">
        <f>'CORE  2019'!E171</f>
        <v xml:space="preserve">transport storage/shaft </v>
      </c>
      <c r="E179" s="108">
        <f>'CORE  2019'!J171</f>
        <v>2246.4</v>
      </c>
      <c r="F179" s="94">
        <f t="shared" si="131"/>
        <v>0.2</v>
      </c>
      <c r="G179" s="93">
        <f t="shared" si="132"/>
        <v>449.28000000000003</v>
      </c>
      <c r="H179" s="94">
        <f t="shared" si="133"/>
        <v>0.12</v>
      </c>
      <c r="I179" s="93">
        <f t="shared" si="134"/>
        <v>269.56799999999998</v>
      </c>
      <c r="J179" s="95">
        <f t="shared" si="135"/>
        <v>7.8E-2</v>
      </c>
      <c r="K179" s="93">
        <f t="shared" si="136"/>
        <v>231.28934400000003</v>
      </c>
      <c r="L179" s="95">
        <f t="shared" si="137"/>
        <v>8.5000000000000006E-2</v>
      </c>
      <c r="M179" s="93">
        <f t="shared" si="138"/>
        <v>190.94400000000002</v>
      </c>
      <c r="N179" s="23">
        <f t="shared" si="139"/>
        <v>3387.4813440000003</v>
      </c>
      <c r="O179" s="99"/>
      <c r="P179" s="99"/>
      <c r="Q179" s="99"/>
      <c r="R179" s="8">
        <f t="shared" ref="R179:W179" si="143">$N179/6</f>
        <v>564.58022400000004</v>
      </c>
      <c r="S179" s="8">
        <f t="shared" si="143"/>
        <v>564.58022400000004</v>
      </c>
      <c r="T179" s="8">
        <f t="shared" si="143"/>
        <v>564.58022400000004</v>
      </c>
      <c r="U179" s="8">
        <f t="shared" si="143"/>
        <v>564.58022400000004</v>
      </c>
      <c r="V179" s="8">
        <f t="shared" si="143"/>
        <v>564.58022400000004</v>
      </c>
      <c r="W179" s="8">
        <f t="shared" si="143"/>
        <v>564.58022400000004</v>
      </c>
      <c r="X179" s="103" t="s">
        <v>231</v>
      </c>
      <c r="Y179" s="61">
        <f t="shared" si="140"/>
        <v>0</v>
      </c>
      <c r="Z179" s="110" t="str">
        <f>'CORE  2019'!W171</f>
        <v>y</v>
      </c>
    </row>
    <row r="180" spans="1:26">
      <c r="A180" t="str">
        <f>'CORE  2019'!B172</f>
        <v>131.04.01.02</v>
      </c>
      <c r="B180" t="str">
        <f>'CORE  2019'!C172</f>
        <v>Storage/offices/varia</v>
      </c>
      <c r="C180" s="110" t="str">
        <f>'CORE  2019'!D172</f>
        <v>N/A</v>
      </c>
      <c r="D180" t="str">
        <f>'CORE  2019'!E172</f>
        <v>Porta-Potty Service</v>
      </c>
      <c r="E180" s="108">
        <f>'CORE  2019'!J172</f>
        <v>135.77000000000001</v>
      </c>
      <c r="F180" s="94">
        <f t="shared" si="131"/>
        <v>0.2</v>
      </c>
      <c r="G180" s="93">
        <f t="shared" si="132"/>
        <v>27.154000000000003</v>
      </c>
      <c r="H180" s="94">
        <f t="shared" si="133"/>
        <v>0.12</v>
      </c>
      <c r="I180" s="93">
        <f t="shared" si="134"/>
        <v>16.292400000000001</v>
      </c>
      <c r="J180" s="95">
        <f t="shared" si="135"/>
        <v>7.8E-2</v>
      </c>
      <c r="K180" s="93">
        <f t="shared" si="136"/>
        <v>13.978879200000002</v>
      </c>
      <c r="L180" s="95">
        <f t="shared" si="137"/>
        <v>8.5000000000000006E-2</v>
      </c>
      <c r="M180" s="93">
        <f t="shared" si="138"/>
        <v>11.540450000000002</v>
      </c>
      <c r="N180" s="23">
        <f t="shared" si="139"/>
        <v>204.73572920000001</v>
      </c>
      <c r="O180" s="99"/>
      <c r="P180" s="99"/>
      <c r="Q180" s="99">
        <f>N180</f>
        <v>204.73572920000001</v>
      </c>
      <c r="R180" s="8"/>
      <c r="S180" s="8"/>
      <c r="T180" s="8"/>
      <c r="U180" s="8"/>
      <c r="V180" s="8"/>
      <c r="W180" s="8"/>
      <c r="X180" s="103" t="s">
        <v>231</v>
      </c>
      <c r="Y180" s="61">
        <f t="shared" si="140"/>
        <v>0</v>
      </c>
      <c r="Z180" s="110" t="str">
        <f>'CORE  2019'!W172</f>
        <v>y</v>
      </c>
    </row>
    <row r="181" spans="1:26">
      <c r="A181" t="str">
        <f>'CORE  2019'!B173</f>
        <v>131.04.01.02</v>
      </c>
      <c r="B181" t="str">
        <f>'CORE  2019'!C173</f>
        <v>Storage/offices/varia</v>
      </c>
      <c r="C181" s="110" t="str">
        <f>'CORE  2019'!D173</f>
        <v>N/A</v>
      </c>
      <c r="D181" t="str">
        <f>'CORE  2019'!E173</f>
        <v>Hand Washing Stations</v>
      </c>
      <c r="E181" s="108">
        <f>'CORE  2019'!J173</f>
        <v>9.5519999999999996</v>
      </c>
      <c r="F181" s="94">
        <f t="shared" si="131"/>
        <v>0.2</v>
      </c>
      <c r="G181" s="93">
        <f t="shared" si="132"/>
        <v>1.9104000000000001</v>
      </c>
      <c r="H181" s="94">
        <f t="shared" si="133"/>
        <v>0.12</v>
      </c>
      <c r="I181" s="93">
        <f t="shared" si="134"/>
        <v>1.1462399999999999</v>
      </c>
      <c r="J181" s="95">
        <f t="shared" si="135"/>
        <v>7.8E-2</v>
      </c>
      <c r="K181" s="93">
        <f t="shared" si="136"/>
        <v>0.98347392</v>
      </c>
      <c r="L181" s="95">
        <f t="shared" si="137"/>
        <v>8.5000000000000006E-2</v>
      </c>
      <c r="M181" s="93">
        <f t="shared" si="138"/>
        <v>0.81191999999999998</v>
      </c>
      <c r="N181" s="23">
        <f t="shared" si="139"/>
        <v>14.40403392</v>
      </c>
      <c r="O181" s="99"/>
      <c r="P181" s="99"/>
      <c r="Q181" s="99">
        <f>N181</f>
        <v>14.40403392</v>
      </c>
      <c r="R181" s="8"/>
      <c r="S181" s="8"/>
      <c r="T181" s="8"/>
      <c r="U181" s="8"/>
      <c r="V181" s="8"/>
      <c r="W181" s="8"/>
      <c r="X181" s="103" t="s">
        <v>231</v>
      </c>
      <c r="Y181" s="61">
        <f t="shared" si="140"/>
        <v>0</v>
      </c>
      <c r="Z181" s="110" t="str">
        <f>'CORE  2019'!W173</f>
        <v>y</v>
      </c>
    </row>
    <row r="182" spans="1:26">
      <c r="A182" t="str">
        <f>'CORE  2019'!B174</f>
        <v>131.04.01.02</v>
      </c>
      <c r="B182" t="str">
        <f>'CORE  2019'!C174</f>
        <v>Storage/offices/varia</v>
      </c>
      <c r="C182" s="110" t="str">
        <f>'CORE  2019'!D174</f>
        <v>N/A</v>
      </c>
      <c r="D182" t="str">
        <f>'CORE  2019'!E174</f>
        <v>Janitorial Service</v>
      </c>
      <c r="E182" s="108">
        <f>'CORE  2019'!J174</f>
        <v>327.60000000000002</v>
      </c>
      <c r="F182" s="94">
        <f t="shared" si="131"/>
        <v>0.2</v>
      </c>
      <c r="G182" s="93">
        <f t="shared" si="132"/>
        <v>65.52000000000001</v>
      </c>
      <c r="H182" s="94">
        <f t="shared" si="133"/>
        <v>0.12</v>
      </c>
      <c r="I182" s="93">
        <f t="shared" si="134"/>
        <v>39.312000000000005</v>
      </c>
      <c r="J182" s="95">
        <f t="shared" si="135"/>
        <v>7.8E-2</v>
      </c>
      <c r="K182" s="93">
        <f t="shared" si="136"/>
        <v>33.729696000000004</v>
      </c>
      <c r="L182" s="95">
        <f t="shared" si="137"/>
        <v>8.5000000000000006E-2</v>
      </c>
      <c r="M182" s="93">
        <f t="shared" si="138"/>
        <v>27.846000000000004</v>
      </c>
      <c r="N182" s="23">
        <f t="shared" si="139"/>
        <v>494.00769600000001</v>
      </c>
      <c r="O182" s="99"/>
      <c r="P182" s="99"/>
      <c r="Q182" s="99">
        <f t="shared" ref="Q182:W183" si="144">$N182/7</f>
        <v>70.572528000000005</v>
      </c>
      <c r="R182" s="99">
        <f t="shared" si="144"/>
        <v>70.572528000000005</v>
      </c>
      <c r="S182" s="99">
        <f t="shared" si="144"/>
        <v>70.572528000000005</v>
      </c>
      <c r="T182" s="99">
        <f t="shared" si="144"/>
        <v>70.572528000000005</v>
      </c>
      <c r="U182" s="99">
        <f t="shared" si="144"/>
        <v>70.572528000000005</v>
      </c>
      <c r="V182" s="99">
        <f t="shared" si="144"/>
        <v>70.572528000000005</v>
      </c>
      <c r="W182" s="99">
        <f t="shared" si="144"/>
        <v>70.572528000000005</v>
      </c>
      <c r="X182" s="103" t="s">
        <v>231</v>
      </c>
      <c r="Y182" s="61">
        <f t="shared" si="140"/>
        <v>0</v>
      </c>
      <c r="Z182" s="110" t="str">
        <f>'CORE  2019'!W174</f>
        <v>y</v>
      </c>
    </row>
    <row r="183" spans="1:26">
      <c r="A183" t="str">
        <f>'CORE  2019'!B175</f>
        <v>131.04.01.02</v>
      </c>
      <c r="B183" t="str">
        <f>'CORE  2019'!C175</f>
        <v>Storage/offices/varia</v>
      </c>
      <c r="C183" s="110" t="str">
        <f>'CORE  2019'!D175</f>
        <v>N/A</v>
      </c>
      <c r="D183" t="str">
        <f>'CORE  2019'!E175</f>
        <v>Trash/Recycling Service</v>
      </c>
      <c r="E183" s="108">
        <f>'CORE  2019'!J175</f>
        <v>163.80000000000001</v>
      </c>
      <c r="F183" s="94">
        <f t="shared" si="131"/>
        <v>0.2</v>
      </c>
      <c r="G183" s="93">
        <f t="shared" si="132"/>
        <v>32.760000000000005</v>
      </c>
      <c r="H183" s="94">
        <f t="shared" si="133"/>
        <v>0.12</v>
      </c>
      <c r="I183" s="93">
        <f t="shared" si="134"/>
        <v>19.656000000000002</v>
      </c>
      <c r="J183" s="95">
        <f t="shared" si="135"/>
        <v>7.8E-2</v>
      </c>
      <c r="K183" s="93">
        <f t="shared" si="136"/>
        <v>16.864848000000002</v>
      </c>
      <c r="L183" s="95">
        <f t="shared" si="137"/>
        <v>8.5000000000000006E-2</v>
      </c>
      <c r="M183" s="93">
        <f t="shared" si="138"/>
        <v>13.923000000000002</v>
      </c>
      <c r="N183" s="23">
        <f t="shared" si="139"/>
        <v>247.003848</v>
      </c>
      <c r="O183" s="99"/>
      <c r="P183" s="99"/>
      <c r="Q183" s="99">
        <f t="shared" si="144"/>
        <v>35.286264000000003</v>
      </c>
      <c r="R183" s="99">
        <f t="shared" si="144"/>
        <v>35.286264000000003</v>
      </c>
      <c r="S183" s="99">
        <f t="shared" si="144"/>
        <v>35.286264000000003</v>
      </c>
      <c r="T183" s="99">
        <f t="shared" si="144"/>
        <v>35.286264000000003</v>
      </c>
      <c r="U183" s="99">
        <f t="shared" si="144"/>
        <v>35.286264000000003</v>
      </c>
      <c r="V183" s="99">
        <f t="shared" si="144"/>
        <v>35.286264000000003</v>
      </c>
      <c r="W183" s="99">
        <f t="shared" si="144"/>
        <v>35.286264000000003</v>
      </c>
      <c r="X183" s="103" t="s">
        <v>231</v>
      </c>
      <c r="Y183" s="61">
        <f t="shared" si="140"/>
        <v>0</v>
      </c>
      <c r="Z183" s="110" t="str">
        <f>'CORE  2019'!W175</f>
        <v>y</v>
      </c>
    </row>
    <row r="184" spans="1:26">
      <c r="A184" t="str">
        <f>'CORE  2019'!B176</f>
        <v>131.04.01.02</v>
      </c>
      <c r="B184" t="str">
        <f>'CORE  2019'!C176</f>
        <v>Storage/offices/varia</v>
      </c>
      <c r="C184" s="110" t="str">
        <f>'CORE  2019'!D176</f>
        <v>N/A</v>
      </c>
      <c r="D184" t="str">
        <f>'CORE  2019'!E176</f>
        <v>Cardboard baler</v>
      </c>
      <c r="E184" s="108">
        <f>'CORE  2019'!J176</f>
        <v>32.5</v>
      </c>
      <c r="F184" s="94">
        <f t="shared" si="131"/>
        <v>0.2</v>
      </c>
      <c r="G184" s="93">
        <f t="shared" si="132"/>
        <v>6.5</v>
      </c>
      <c r="H184" s="94">
        <f t="shared" si="133"/>
        <v>0.12</v>
      </c>
      <c r="I184" s="93">
        <f t="shared" si="134"/>
        <v>3.9</v>
      </c>
      <c r="J184" s="95">
        <f t="shared" si="135"/>
        <v>7.8E-2</v>
      </c>
      <c r="K184" s="93">
        <f t="shared" si="136"/>
        <v>3.3462000000000001</v>
      </c>
      <c r="L184" s="95">
        <f t="shared" si="137"/>
        <v>8.5000000000000006E-2</v>
      </c>
      <c r="M184" s="93">
        <f t="shared" si="138"/>
        <v>2.7625000000000002</v>
      </c>
      <c r="N184" s="23">
        <f t="shared" si="139"/>
        <v>49.008700000000005</v>
      </c>
      <c r="O184" s="99"/>
      <c r="P184" s="99"/>
      <c r="Q184" s="99">
        <f>N184</f>
        <v>49.008700000000005</v>
      </c>
      <c r="R184" s="8"/>
      <c r="S184" s="8"/>
      <c r="T184" s="8"/>
      <c r="U184" s="8"/>
      <c r="V184" s="8"/>
      <c r="W184" s="8"/>
      <c r="X184" s="103" t="s">
        <v>231</v>
      </c>
      <c r="Y184" s="61">
        <f t="shared" si="140"/>
        <v>0</v>
      </c>
      <c r="Z184" s="110" t="str">
        <f>'CORE  2019'!W176</f>
        <v>y</v>
      </c>
    </row>
    <row r="185" spans="1:26">
      <c r="A185" t="str">
        <f>'CORE  2019'!B177</f>
        <v>131.04.01.02</v>
      </c>
      <c r="B185" t="str">
        <f>'CORE  2019'!C177</f>
        <v>Storage/offices/varia</v>
      </c>
      <c r="C185" s="110" t="str">
        <f>'CORE  2019'!D177</f>
        <v>N/A</v>
      </c>
      <c r="D185" t="str">
        <f>'CORE  2019'!E177</f>
        <v>Metrology material</v>
      </c>
      <c r="E185" s="108">
        <f>'CORE  2019'!$J$177</f>
        <v>268.45</v>
      </c>
      <c r="F185" s="94">
        <f t="shared" si="131"/>
        <v>0.2</v>
      </c>
      <c r="G185" s="93">
        <f t="shared" si="132"/>
        <v>53.69</v>
      </c>
      <c r="H185" s="94">
        <f t="shared" si="133"/>
        <v>0.12</v>
      </c>
      <c r="I185" s="93">
        <f t="shared" si="134"/>
        <v>32.213999999999999</v>
      </c>
      <c r="J185" s="95">
        <f t="shared" si="135"/>
        <v>7.8E-2</v>
      </c>
      <c r="K185" s="93">
        <f t="shared" si="136"/>
        <v>27.639612</v>
      </c>
      <c r="L185" s="95">
        <f t="shared" si="137"/>
        <v>8.5000000000000006E-2</v>
      </c>
      <c r="M185" s="93">
        <f t="shared" si="138"/>
        <v>22.818249999999999</v>
      </c>
      <c r="N185" s="23">
        <f t="shared" si="139"/>
        <v>404.81186199999996</v>
      </c>
      <c r="O185" s="99"/>
      <c r="P185" s="99"/>
      <c r="Q185" s="107">
        <f>N185</f>
        <v>404.81186199999996</v>
      </c>
      <c r="R185" s="8"/>
      <c r="S185" s="8"/>
      <c r="T185" s="8"/>
      <c r="U185" s="8"/>
      <c r="V185" s="8"/>
      <c r="W185" s="8"/>
      <c r="X185" s="103" t="s">
        <v>231</v>
      </c>
      <c r="Y185" s="61">
        <f t="shared" ref="Y185" si="145">SUM(O185:W185)-N185</f>
        <v>0</v>
      </c>
      <c r="Z185" s="110" t="str">
        <f>'CORE  2019'!W177</f>
        <v>y</v>
      </c>
    </row>
    <row r="186" spans="1:26">
      <c r="A186" t="s">
        <v>0</v>
      </c>
      <c r="E186" s="108"/>
      <c r="G186" s="123"/>
      <c r="J186" s="149"/>
      <c r="K186" s="93" t="s">
        <v>0</v>
      </c>
      <c r="N186" s="23" t="s">
        <v>0</v>
      </c>
      <c r="O186" s="99"/>
      <c r="P186" s="99"/>
      <c r="Q186" s="99"/>
      <c r="R186" s="8"/>
      <c r="S186" s="8"/>
      <c r="T186" s="8"/>
      <c r="U186" s="8"/>
      <c r="V186" s="99"/>
      <c r="W186" s="8"/>
      <c r="X186" s="102"/>
      <c r="Y186" s="8"/>
      <c r="Z186" s="110" t="str">
        <f>'CORE  2019'!W178</f>
        <v xml:space="preserve"> </v>
      </c>
    </row>
    <row r="187" spans="1:26">
      <c r="A187" s="113" t="s">
        <v>0</v>
      </c>
      <c r="B187" s="113" t="str">
        <f>'CORE  2019'!C179</f>
        <v>Tech Labor</v>
      </c>
      <c r="C187" s="114">
        <f>N188+N189+N190+N193+N195</f>
        <v>31396.259082239994</v>
      </c>
      <c r="D187" s="119">
        <f>N191+N192+N194</f>
        <v>30578.679029759998</v>
      </c>
      <c r="E187" s="108"/>
      <c r="G187" s="123"/>
      <c r="J187" s="149"/>
      <c r="K187" s="93" t="s">
        <v>0</v>
      </c>
      <c r="N187" s="23" t="s">
        <v>0</v>
      </c>
      <c r="O187" s="99"/>
      <c r="P187" s="99"/>
      <c r="Q187" s="99"/>
      <c r="R187" s="8"/>
      <c r="S187" s="8"/>
      <c r="T187" s="8"/>
      <c r="U187" s="8"/>
      <c r="V187" s="99"/>
      <c r="W187" s="8"/>
      <c r="X187" s="99"/>
      <c r="Y187" s="8"/>
      <c r="Z187" s="110" t="str">
        <f>'CORE  2019'!W179</f>
        <v xml:space="preserve"> </v>
      </c>
    </row>
    <row r="188" spans="1:26">
      <c r="A188" t="str">
        <f>'CORE  2019'!B180</f>
        <v>131.04.01.02</v>
      </c>
      <c r="B188" t="str">
        <f>'CORE  2019'!C180</f>
        <v>Tech Labor</v>
      </c>
      <c r="C188" s="110">
        <f>'CORE  2019'!D180</f>
        <v>1</v>
      </c>
      <c r="D188" t="str">
        <f>'CORE  2019'!E180</f>
        <v>crane drivers  caverns (1 FTE  6  years)</v>
      </c>
      <c r="E188" s="108">
        <f>'CORE  2019'!J180</f>
        <v>598.66559999999993</v>
      </c>
      <c r="F188" s="94">
        <f t="shared" ref="F188:F195" si="146">$A$6</f>
        <v>0.1</v>
      </c>
      <c r="G188" s="93">
        <f t="shared" ref="G188:G195" si="147">F188*E188</f>
        <v>59.866559999999993</v>
      </c>
      <c r="H188" s="94">
        <f t="shared" ref="H188:H195" si="148">$A$9</f>
        <v>0.12</v>
      </c>
      <c r="I188" s="93">
        <f t="shared" ref="I188:I195" si="149">H188*E188</f>
        <v>71.839871999999986</v>
      </c>
      <c r="J188" s="95">
        <f>$A$5</f>
        <v>1.48</v>
      </c>
      <c r="K188" s="93">
        <f>($E188+$G188+$I188)*$J188</f>
        <v>1080.95060736</v>
      </c>
      <c r="L188" s="95">
        <v>0</v>
      </c>
      <c r="M188" s="93">
        <f t="shared" ref="M188:M195" si="150">L188*E188</f>
        <v>0</v>
      </c>
      <c r="N188" s="23">
        <f t="shared" ref="N188:N195" si="151">E188+G188+I188+K188+M188</f>
        <v>1811.32263936</v>
      </c>
      <c r="O188" s="99"/>
      <c r="P188" s="99"/>
      <c r="Q188" s="99"/>
      <c r="R188" s="8">
        <f t="shared" ref="R188:W189" si="152">$N188/6</f>
        <v>301.88710656000001</v>
      </c>
      <c r="S188" s="8">
        <f t="shared" si="152"/>
        <v>301.88710656000001</v>
      </c>
      <c r="T188" s="8">
        <f t="shared" si="152"/>
        <v>301.88710656000001</v>
      </c>
      <c r="U188" s="8">
        <f t="shared" si="152"/>
        <v>301.88710656000001</v>
      </c>
      <c r="V188" s="8">
        <f t="shared" si="152"/>
        <v>301.88710656000001</v>
      </c>
      <c r="W188" s="8">
        <f t="shared" si="152"/>
        <v>301.88710656000001</v>
      </c>
      <c r="X188" s="99" t="s">
        <v>233</v>
      </c>
      <c r="Y188" s="61">
        <f t="shared" ref="Y188:Y195" si="153">SUM(O188:W188)-N188</f>
        <v>0</v>
      </c>
      <c r="Z188" s="110" t="str">
        <f>'CORE  2019'!W180</f>
        <v>n</v>
      </c>
    </row>
    <row r="189" spans="1:26">
      <c r="A189" t="str">
        <f>'CORE  2019'!B181</f>
        <v>131.04.01.02</v>
      </c>
      <c r="B189" t="str">
        <f>'CORE  2019'!C181</f>
        <v>Tech Labor</v>
      </c>
      <c r="C189" s="110">
        <f>'CORE  2019'!D181</f>
        <v>1</v>
      </c>
      <c r="D189" t="str">
        <f>'CORE  2019'!E181</f>
        <v>crane drivers  caverns (5 FTE  6  years)</v>
      </c>
      <c r="E189" s="108">
        <f>'CORE  2019'!J181</f>
        <v>2993.3279999999995</v>
      </c>
      <c r="F189" s="94">
        <f t="shared" si="146"/>
        <v>0.1</v>
      </c>
      <c r="G189" s="93">
        <f t="shared" si="147"/>
        <v>299.33279999999996</v>
      </c>
      <c r="H189" s="94">
        <f t="shared" si="148"/>
        <v>0.12</v>
      </c>
      <c r="I189" s="93">
        <f t="shared" si="149"/>
        <v>359.19935999999996</v>
      </c>
      <c r="J189" s="95">
        <f>$A$5</f>
        <v>1.48</v>
      </c>
      <c r="K189" s="93">
        <f>($E189+$G189+$I189)*$J189</f>
        <v>5404.7530367999998</v>
      </c>
      <c r="L189" s="95">
        <v>0</v>
      </c>
      <c r="M189" s="93">
        <f t="shared" si="150"/>
        <v>0</v>
      </c>
      <c r="N189" s="23">
        <f t="shared" si="151"/>
        <v>9056.6131967999991</v>
      </c>
      <c r="O189" s="99"/>
      <c r="P189" s="99"/>
      <c r="Q189" s="99"/>
      <c r="R189" s="8">
        <f t="shared" si="152"/>
        <v>1509.4355327999999</v>
      </c>
      <c r="S189" s="8">
        <f t="shared" si="152"/>
        <v>1509.4355327999999</v>
      </c>
      <c r="T189" s="8">
        <f t="shared" si="152"/>
        <v>1509.4355327999999</v>
      </c>
      <c r="U189" s="8">
        <f t="shared" si="152"/>
        <v>1509.4355327999999</v>
      </c>
      <c r="V189" s="8">
        <f t="shared" si="152"/>
        <v>1509.4355327999999</v>
      </c>
      <c r="W189" s="8">
        <f t="shared" si="152"/>
        <v>1509.4355327999999</v>
      </c>
      <c r="X189" s="99" t="s">
        <v>233</v>
      </c>
      <c r="Y189" s="61">
        <f t="shared" si="153"/>
        <v>0</v>
      </c>
      <c r="Z189" s="110" t="str">
        <f>'CORE  2019'!W181</f>
        <v>y</v>
      </c>
    </row>
    <row r="190" spans="1:26">
      <c r="A190" t="str">
        <f>'CORE  2019'!B182</f>
        <v>131.04.01.07</v>
      </c>
      <c r="B190" t="str">
        <f>'CORE  2019'!C182</f>
        <v>Tech Labor</v>
      </c>
      <c r="C190" s="110">
        <f>'CORE  2019'!D182</f>
        <v>1</v>
      </c>
      <c r="D190" t="str">
        <f>'CORE  2019'!E182</f>
        <v>core tecs crew (1 FTE, 4 years)</v>
      </c>
      <c r="E190" s="108">
        <f>'CORE  2019'!J182</f>
        <v>399.11039999999997</v>
      </c>
      <c r="F190" s="94">
        <f t="shared" si="146"/>
        <v>0.1</v>
      </c>
      <c r="G190" s="93">
        <f t="shared" si="147"/>
        <v>39.91104</v>
      </c>
      <c r="H190" s="94">
        <f t="shared" si="148"/>
        <v>0.12</v>
      </c>
      <c r="I190" s="93">
        <f t="shared" si="149"/>
        <v>47.893247999999993</v>
      </c>
      <c r="J190" s="95">
        <f>$A$5</f>
        <v>1.48</v>
      </c>
      <c r="K190" s="93">
        <f>($E190+$G190+$I190)*$J190</f>
        <v>720.63373823999996</v>
      </c>
      <c r="L190" s="95">
        <v>0</v>
      </c>
      <c r="M190" s="93">
        <f t="shared" si="150"/>
        <v>0</v>
      </c>
      <c r="N190" s="23">
        <f t="shared" si="151"/>
        <v>1207.54842624</v>
      </c>
      <c r="O190" s="99"/>
      <c r="P190" s="99"/>
      <c r="Q190" s="99"/>
      <c r="R190" s="8">
        <f t="shared" ref="R190:U192" si="154">$N190/4</f>
        <v>301.88710656000001</v>
      </c>
      <c r="S190" s="8">
        <f t="shared" si="154"/>
        <v>301.88710656000001</v>
      </c>
      <c r="T190" s="8">
        <f t="shared" si="154"/>
        <v>301.88710656000001</v>
      </c>
      <c r="U190" s="8">
        <f t="shared" si="154"/>
        <v>301.88710656000001</v>
      </c>
      <c r="V190" s="99" t="s">
        <v>0</v>
      </c>
      <c r="W190" s="8"/>
      <c r="X190" s="99" t="s">
        <v>233</v>
      </c>
      <c r="Y190" s="61">
        <f t="shared" si="153"/>
        <v>0</v>
      </c>
      <c r="Z190" s="110" t="str">
        <f>'CORE  2019'!W182</f>
        <v>n</v>
      </c>
    </row>
    <row r="191" spans="1:26">
      <c r="A191" t="str">
        <f>'CORE  2019'!B183</f>
        <v>131.04.01.07</v>
      </c>
      <c r="B191" t="str">
        <f>'CORE  2019'!C183</f>
        <v>Tech Labor</v>
      </c>
      <c r="C191" s="110">
        <f>'CORE  2019'!D183</f>
        <v>1</v>
      </c>
      <c r="D191" t="str">
        <f>'CORE  2019'!E183</f>
        <v>core tecs crew (9 FTE, 4 years)</v>
      </c>
      <c r="E191" s="108">
        <f>'CORE  2019'!J183</f>
        <v>3591.9935999999998</v>
      </c>
      <c r="F191" s="94">
        <f t="shared" si="146"/>
        <v>0.1</v>
      </c>
      <c r="G191" s="93">
        <f t="shared" si="147"/>
        <v>359.19936000000001</v>
      </c>
      <c r="H191" s="94">
        <f t="shared" si="148"/>
        <v>0.12</v>
      </c>
      <c r="I191" s="93">
        <f t="shared" si="149"/>
        <v>431.03923199999997</v>
      </c>
      <c r="J191" s="95">
        <f>$A$5</f>
        <v>1.48</v>
      </c>
      <c r="K191" s="93">
        <f>($E191+$G191+$I191)*$J191</f>
        <v>6485.7036441599994</v>
      </c>
      <c r="L191" s="95">
        <v>0</v>
      </c>
      <c r="M191" s="93">
        <f t="shared" si="150"/>
        <v>0</v>
      </c>
      <c r="N191" s="23">
        <f t="shared" si="151"/>
        <v>10867.935836159999</v>
      </c>
      <c r="O191" s="99"/>
      <c r="P191" s="99"/>
      <c r="Q191" s="99"/>
      <c r="R191" s="8">
        <f t="shared" si="154"/>
        <v>2716.9839590399997</v>
      </c>
      <c r="S191" s="8">
        <f t="shared" si="154"/>
        <v>2716.9839590399997</v>
      </c>
      <c r="T191" s="8">
        <f t="shared" si="154"/>
        <v>2716.9839590399997</v>
      </c>
      <c r="U191" s="8">
        <f t="shared" si="154"/>
        <v>2716.9839590399997</v>
      </c>
      <c r="V191" s="99" t="s">
        <v>0</v>
      </c>
      <c r="W191" s="8"/>
      <c r="X191" s="99" t="s">
        <v>303</v>
      </c>
      <c r="Y191" s="61">
        <f t="shared" si="153"/>
        <v>0</v>
      </c>
      <c r="Z191" s="110" t="str">
        <f>'CORE  2019'!W183</f>
        <v>y</v>
      </c>
    </row>
    <row r="192" spans="1:26">
      <c r="A192" t="str">
        <f>'CORE  2019'!B184</f>
        <v>131.04.01.07</v>
      </c>
      <c r="B192" t="str">
        <f>'CORE  2019'!C184</f>
        <v>Tech Labor</v>
      </c>
      <c r="C192" s="110">
        <f>'CORE  2019'!D184</f>
        <v>1</v>
      </c>
      <c r="D192" t="str">
        <f>'CORE  2019'!E184</f>
        <v>construction  managers (3 FTE,4 years)</v>
      </c>
      <c r="E192" s="108">
        <f>'CORE  2019'!J184</f>
        <v>1461.3311999999999</v>
      </c>
      <c r="F192" s="94">
        <f t="shared" si="146"/>
        <v>0.1</v>
      </c>
      <c r="G192" s="93">
        <f t="shared" si="147"/>
        <v>146.13311999999999</v>
      </c>
      <c r="H192" s="94">
        <f t="shared" si="148"/>
        <v>0.12</v>
      </c>
      <c r="I192" s="93">
        <f t="shared" si="149"/>
        <v>175.35974399999998</v>
      </c>
      <c r="J192" s="95">
        <f>$A$5</f>
        <v>1.48</v>
      </c>
      <c r="K192" s="93">
        <f>($E192+$G192+$I192)*$J192</f>
        <v>2638.5796147199999</v>
      </c>
      <c r="L192" s="95">
        <v>0</v>
      </c>
      <c r="M192" s="93">
        <f t="shared" si="150"/>
        <v>0</v>
      </c>
      <c r="N192" s="23">
        <f t="shared" si="151"/>
        <v>4421.4036787200002</v>
      </c>
      <c r="O192" s="99"/>
      <c r="P192" s="99"/>
      <c r="Q192" s="99"/>
      <c r="R192" s="8">
        <f t="shared" si="154"/>
        <v>1105.3509196800001</v>
      </c>
      <c r="S192" s="8">
        <f t="shared" si="154"/>
        <v>1105.3509196800001</v>
      </c>
      <c r="T192" s="8">
        <f t="shared" si="154"/>
        <v>1105.3509196800001</v>
      </c>
      <c r="U192" s="8">
        <f t="shared" si="154"/>
        <v>1105.3509196800001</v>
      </c>
      <c r="V192" s="99" t="s">
        <v>0</v>
      </c>
      <c r="W192" s="8"/>
      <c r="X192" s="99" t="s">
        <v>303</v>
      </c>
      <c r="Y192" s="61">
        <f t="shared" si="153"/>
        <v>0</v>
      </c>
      <c r="Z192" s="110" t="str">
        <f>'CORE  2019'!W184</f>
        <v>y</v>
      </c>
    </row>
    <row r="193" spans="1:26">
      <c r="A193" t="str">
        <f>'CORE  2019'!B185</f>
        <v>131.04.01.02</v>
      </c>
      <c r="B193" t="str">
        <f>'CORE  2019'!C185</f>
        <v>Tech Labor</v>
      </c>
      <c r="C193" s="110">
        <f>'CORE  2019'!D185</f>
        <v>2</v>
      </c>
      <c r="D193" t="str">
        <f>'CORE  2019'!E185</f>
        <v>same as det1 SDSD</v>
      </c>
      <c r="E193" s="108">
        <f>'CORE  2019'!J185</f>
        <v>3991.1039999999994</v>
      </c>
      <c r="F193" s="94">
        <f t="shared" si="146"/>
        <v>0.1</v>
      </c>
      <c r="G193" s="93">
        <f t="shared" si="147"/>
        <v>399.11039999999997</v>
      </c>
      <c r="H193" s="94">
        <f t="shared" si="148"/>
        <v>0.12</v>
      </c>
      <c r="I193" s="93">
        <f t="shared" si="149"/>
        <v>478.93247999999988</v>
      </c>
      <c r="J193" s="95" t="s">
        <v>0</v>
      </c>
      <c r="K193" s="93">
        <f>K188+K189+K190</f>
        <v>7206.3373823999991</v>
      </c>
      <c r="L193" s="95">
        <v>0</v>
      </c>
      <c r="M193" s="93">
        <f t="shared" si="150"/>
        <v>0</v>
      </c>
      <c r="N193" s="23">
        <f t="shared" si="151"/>
        <v>12075.484262399998</v>
      </c>
      <c r="O193" s="99"/>
      <c r="P193" s="99"/>
      <c r="Q193" s="99"/>
      <c r="R193" s="8"/>
      <c r="S193" s="8"/>
      <c r="T193" s="8">
        <f t="shared" ref="T193:W194" si="155">$N193/4</f>
        <v>3018.8710655999994</v>
      </c>
      <c r="U193" s="8">
        <f t="shared" si="155"/>
        <v>3018.8710655999994</v>
      </c>
      <c r="V193" s="8">
        <f t="shared" si="155"/>
        <v>3018.8710655999994</v>
      </c>
      <c r="W193" s="8">
        <f t="shared" si="155"/>
        <v>3018.8710655999994</v>
      </c>
      <c r="X193" s="99" t="s">
        <v>233</v>
      </c>
      <c r="Y193" s="61">
        <f t="shared" si="153"/>
        <v>0</v>
      </c>
      <c r="Z193" s="110" t="str">
        <f>'CORE  2019'!W185</f>
        <v xml:space="preserve"> </v>
      </c>
    </row>
    <row r="194" spans="1:26">
      <c r="A194" t="str">
        <f>'CORE  2019'!B186</f>
        <v>131.04.01.07</v>
      </c>
      <c r="B194" t="str">
        <f>'CORE  2019'!C186</f>
        <v>Tech Labor</v>
      </c>
      <c r="C194" s="110">
        <f>'CORE  2019'!D186</f>
        <v>2</v>
      </c>
      <c r="D194" t="str">
        <f>'CORE  2019'!E186</f>
        <v>same as det1 I&amp;I</v>
      </c>
      <c r="E194" s="108">
        <f>'CORE  2019'!J186</f>
        <v>5053.3247999999994</v>
      </c>
      <c r="F194" s="94">
        <f t="shared" si="146"/>
        <v>0.1</v>
      </c>
      <c r="G194" s="93">
        <f t="shared" si="147"/>
        <v>505.33247999999998</v>
      </c>
      <c r="H194" s="94">
        <f t="shared" si="148"/>
        <v>0.12</v>
      </c>
      <c r="I194" s="93">
        <f t="shared" si="149"/>
        <v>606.39897599999995</v>
      </c>
      <c r="J194" s="95" t="s">
        <v>0</v>
      </c>
      <c r="K194" s="93">
        <f>K191+K192</f>
        <v>9124.2832588799993</v>
      </c>
      <c r="L194" s="95">
        <v>0</v>
      </c>
      <c r="M194" s="93">
        <f t="shared" si="150"/>
        <v>0</v>
      </c>
      <c r="N194" s="23">
        <f t="shared" si="151"/>
        <v>15289.339514879999</v>
      </c>
      <c r="O194" s="99"/>
      <c r="P194" s="99"/>
      <c r="Q194" s="99"/>
      <c r="R194" s="8"/>
      <c r="S194" s="8"/>
      <c r="T194" s="8">
        <f t="shared" si="155"/>
        <v>3822.3348787199998</v>
      </c>
      <c r="U194" s="8">
        <f t="shared" si="155"/>
        <v>3822.3348787199998</v>
      </c>
      <c r="V194" s="8">
        <f t="shared" si="155"/>
        <v>3822.3348787199998</v>
      </c>
      <c r="W194" s="8">
        <f t="shared" si="155"/>
        <v>3822.3348787199998</v>
      </c>
      <c r="X194" s="99" t="s">
        <v>303</v>
      </c>
      <c r="Y194" s="61">
        <f t="shared" si="153"/>
        <v>0</v>
      </c>
      <c r="Z194" s="110" t="str">
        <f>'CORE  2019'!W186</f>
        <v xml:space="preserve"> </v>
      </c>
    </row>
    <row r="195" spans="1:26">
      <c r="A195" t="str">
        <f>'CORE  2019'!B187</f>
        <v>131.04.01.02</v>
      </c>
      <c r="B195" t="str">
        <f>'CORE  2019'!C187</f>
        <v>Tech Labor</v>
      </c>
      <c r="C195" s="110" t="str">
        <f>'CORE  2019'!D187</f>
        <v>N/A</v>
      </c>
      <c r="D195" t="str">
        <f>'CORE  2019'!E187</f>
        <v>storage core tecs crew (3 FTE, 8 years)</v>
      </c>
      <c r="E195" s="108">
        <f>'CORE  2019'!J187</f>
        <v>2394.6623999999997</v>
      </c>
      <c r="F195" s="94">
        <f t="shared" si="146"/>
        <v>0.1</v>
      </c>
      <c r="G195" s="93">
        <f t="shared" si="147"/>
        <v>239.46623999999997</v>
      </c>
      <c r="H195" s="94">
        <f t="shared" si="148"/>
        <v>0.12</v>
      </c>
      <c r="I195" s="93">
        <f t="shared" si="149"/>
        <v>287.35948799999994</v>
      </c>
      <c r="J195" s="95">
        <f>$A$5</f>
        <v>1.48</v>
      </c>
      <c r="K195" s="93">
        <f>($E195+$G195+$I195)*$J195</f>
        <v>4323.8024294400002</v>
      </c>
      <c r="L195" s="95">
        <v>0</v>
      </c>
      <c r="M195" s="93">
        <f t="shared" si="150"/>
        <v>0</v>
      </c>
      <c r="N195" s="23">
        <f t="shared" si="151"/>
        <v>7245.2905574400002</v>
      </c>
      <c r="O195" s="99"/>
      <c r="P195" s="52">
        <f t="shared" ref="P195:W195" si="156">$N195/8</f>
        <v>905.66131968000002</v>
      </c>
      <c r="Q195" s="52">
        <f t="shared" si="156"/>
        <v>905.66131968000002</v>
      </c>
      <c r="R195" s="52">
        <f t="shared" si="156"/>
        <v>905.66131968000002</v>
      </c>
      <c r="S195" s="52">
        <f t="shared" si="156"/>
        <v>905.66131968000002</v>
      </c>
      <c r="T195" s="52">
        <f t="shared" si="156"/>
        <v>905.66131968000002</v>
      </c>
      <c r="U195" s="52">
        <f t="shared" si="156"/>
        <v>905.66131968000002</v>
      </c>
      <c r="V195" s="52">
        <f t="shared" si="156"/>
        <v>905.66131968000002</v>
      </c>
      <c r="W195" s="52">
        <f t="shared" si="156"/>
        <v>905.66131968000002</v>
      </c>
      <c r="X195" s="99" t="s">
        <v>233</v>
      </c>
      <c r="Y195" s="61">
        <f t="shared" si="153"/>
        <v>0</v>
      </c>
      <c r="Z195" s="110" t="str">
        <f>'CORE  2019'!W187</f>
        <v>y</v>
      </c>
    </row>
    <row r="196" spans="1:26">
      <c r="A196" t="s">
        <v>0</v>
      </c>
      <c r="E196" s="108"/>
      <c r="G196" s="123"/>
      <c r="J196" s="149"/>
      <c r="K196" s="93" t="s">
        <v>0</v>
      </c>
      <c r="N196" s="23" t="s">
        <v>0</v>
      </c>
      <c r="O196" s="99"/>
      <c r="P196" s="99"/>
      <c r="Q196" s="99"/>
      <c r="R196" s="8"/>
      <c r="S196" s="8"/>
      <c r="T196" s="8"/>
      <c r="U196" s="8"/>
      <c r="V196" s="99"/>
      <c r="W196" s="8"/>
      <c r="X196" s="99"/>
      <c r="Y196" s="8"/>
      <c r="Z196" s="110">
        <f>'CORE  2019'!W188</f>
        <v>0</v>
      </c>
    </row>
    <row r="197" spans="1:26">
      <c r="A197" s="113" t="s">
        <v>0</v>
      </c>
      <c r="B197" s="113" t="str">
        <f>'CORE  2019'!C189</f>
        <v>Support Labor</v>
      </c>
      <c r="C197" s="119">
        <f>SUM(N198:N204)</f>
        <v>41317.535508479996</v>
      </c>
      <c r="E197" s="108"/>
      <c r="G197" s="123"/>
      <c r="J197" s="149"/>
      <c r="K197" s="93" t="s">
        <v>0</v>
      </c>
      <c r="N197" s="23" t="s">
        <v>0</v>
      </c>
      <c r="O197" s="99"/>
      <c r="P197" s="99"/>
      <c r="Q197" s="99"/>
      <c r="R197" s="8"/>
      <c r="S197" s="8"/>
      <c r="T197" s="8"/>
      <c r="U197" s="8"/>
      <c r="V197" s="99"/>
      <c r="W197" s="8"/>
      <c r="X197" s="99"/>
      <c r="Y197" s="8"/>
      <c r="Z197" s="110">
        <f>'CORE  2019'!W189</f>
        <v>0</v>
      </c>
    </row>
    <row r="198" spans="1:26">
      <c r="A198" t="str">
        <f>'CORE  2019'!B190</f>
        <v>131.04.01.02</v>
      </c>
      <c r="B198" t="str">
        <f>'CORE  2019'!C190</f>
        <v>Support Labor</v>
      </c>
      <c r="C198" s="110" t="str">
        <f>'CORE  2019'!D190</f>
        <v>N/A</v>
      </c>
      <c r="D198" t="str">
        <f>'CORE  2019'!E190</f>
        <v>Electrician on call (1 FTE, 6years)</v>
      </c>
      <c r="E198" s="108">
        <f>'CORE  2019'!J190</f>
        <v>598.66559999999993</v>
      </c>
      <c r="F198" s="94">
        <f t="shared" ref="F198:F204" si="157">$A$6</f>
        <v>0.1</v>
      </c>
      <c r="G198" s="93">
        <f t="shared" ref="G198:G204" si="158">F198*E198</f>
        <v>59.866559999999993</v>
      </c>
      <c r="H198" s="94">
        <f t="shared" ref="H198:H204" si="159">$A$9</f>
        <v>0.12</v>
      </c>
      <c r="I198" s="93">
        <f t="shared" ref="I198:I204" si="160">H198*E198</f>
        <v>71.839871999999986</v>
      </c>
      <c r="J198" s="95">
        <f t="shared" ref="J198:J204" si="161">$A$5</f>
        <v>1.48</v>
      </c>
      <c r="K198" s="93">
        <f t="shared" ref="K198:K204" si="162">($E198+$G198+$I198)*$J198</f>
        <v>1080.95060736</v>
      </c>
      <c r="L198" s="95">
        <v>0</v>
      </c>
      <c r="M198" s="93">
        <f t="shared" ref="M198:M204" si="163">L198*E198</f>
        <v>0</v>
      </c>
      <c r="N198" s="23">
        <f>E198+G198+I198+K198+M198</f>
        <v>1811.32263936</v>
      </c>
      <c r="O198" s="99"/>
      <c r="P198" s="99"/>
      <c r="Q198" s="99"/>
      <c r="R198" s="8">
        <f>$N198/6</f>
        <v>301.88710656000001</v>
      </c>
      <c r="S198" s="8">
        <f t="shared" ref="R198:W204" si="164">$N198/6</f>
        <v>301.88710656000001</v>
      </c>
      <c r="T198" s="8">
        <f t="shared" si="164"/>
        <v>301.88710656000001</v>
      </c>
      <c r="U198" s="8">
        <f t="shared" si="164"/>
        <v>301.88710656000001</v>
      </c>
      <c r="V198" s="8">
        <f t="shared" si="164"/>
        <v>301.88710656000001</v>
      </c>
      <c r="W198" s="8">
        <f t="shared" si="164"/>
        <v>301.88710656000001</v>
      </c>
      <c r="X198" s="99" t="s">
        <v>233</v>
      </c>
      <c r="Y198" s="61">
        <f t="shared" ref="Y198:Y204" si="165">SUM(O198:W198)-N198</f>
        <v>0</v>
      </c>
      <c r="Z198" s="110" t="str">
        <f>'CORE  2019'!W190</f>
        <v>n</v>
      </c>
    </row>
    <row r="199" spans="1:26">
      <c r="A199" t="str">
        <f>'CORE  2019'!B191</f>
        <v>131.04.01.02</v>
      </c>
      <c r="B199" t="str">
        <f>'CORE  2019'!C191</f>
        <v>Support Labor</v>
      </c>
      <c r="C199" s="110" t="str">
        <f>'CORE  2019'!D191</f>
        <v>N/A</v>
      </c>
      <c r="D199" t="str">
        <f>'CORE  2019'!E191</f>
        <v>Electrician on call (2 FTE, 6years)</v>
      </c>
      <c r="E199" s="108">
        <f>'CORE  2019'!J191</f>
        <v>1197.3311999999999</v>
      </c>
      <c r="F199" s="94">
        <f t="shared" si="157"/>
        <v>0.1</v>
      </c>
      <c r="G199" s="93">
        <f t="shared" si="158"/>
        <v>119.73311999999999</v>
      </c>
      <c r="H199" s="94">
        <f t="shared" si="159"/>
        <v>0.12</v>
      </c>
      <c r="I199" s="93">
        <f t="shared" si="160"/>
        <v>143.67974399999997</v>
      </c>
      <c r="J199" s="95">
        <f t="shared" si="161"/>
        <v>1.48</v>
      </c>
      <c r="K199" s="93">
        <f t="shared" si="162"/>
        <v>2161.9012147200001</v>
      </c>
      <c r="L199" s="95">
        <v>0</v>
      </c>
      <c r="M199" s="93">
        <f t="shared" si="163"/>
        <v>0</v>
      </c>
      <c r="N199" s="23">
        <f t="shared" ref="N199:N204" si="166">E199+G199+I199+K199+M199</f>
        <v>3622.6452787200001</v>
      </c>
      <c r="O199" s="99"/>
      <c r="P199" s="99"/>
      <c r="Q199" s="99"/>
      <c r="R199" s="8">
        <f t="shared" si="164"/>
        <v>603.77421312000001</v>
      </c>
      <c r="S199" s="8">
        <f t="shared" si="164"/>
        <v>603.77421312000001</v>
      </c>
      <c r="T199" s="8">
        <f t="shared" si="164"/>
        <v>603.77421312000001</v>
      </c>
      <c r="U199" s="8">
        <f t="shared" si="164"/>
        <v>603.77421312000001</v>
      </c>
      <c r="V199" s="8">
        <f t="shared" si="164"/>
        <v>603.77421312000001</v>
      </c>
      <c r="W199" s="8">
        <f t="shared" si="164"/>
        <v>603.77421312000001</v>
      </c>
      <c r="X199" s="99" t="s">
        <v>233</v>
      </c>
      <c r="Y199" s="61">
        <f t="shared" si="165"/>
        <v>0</v>
      </c>
      <c r="Z199" s="110" t="str">
        <f>'CORE  2019'!W191</f>
        <v>y</v>
      </c>
    </row>
    <row r="200" spans="1:26">
      <c r="A200" t="str">
        <f>'CORE  2019'!B192</f>
        <v>131.04.01.02</v>
      </c>
      <c r="B200" t="str">
        <f>'CORE  2019'!C192</f>
        <v>Support Labor</v>
      </c>
      <c r="C200" s="110" t="str">
        <f>'CORE  2019'!D192</f>
        <v>N/A</v>
      </c>
      <c r="D200" t="str">
        <f>'CORE  2019'!E192</f>
        <v>Ventil./water/network on call (1 FTE, 6years)</v>
      </c>
      <c r="E200" s="108">
        <f>'CORE  2019'!J192</f>
        <v>598.66559999999993</v>
      </c>
      <c r="F200" s="94">
        <f t="shared" si="157"/>
        <v>0.1</v>
      </c>
      <c r="G200" s="93">
        <f t="shared" si="158"/>
        <v>59.866559999999993</v>
      </c>
      <c r="H200" s="94">
        <f t="shared" si="159"/>
        <v>0.12</v>
      </c>
      <c r="I200" s="93">
        <f t="shared" si="160"/>
        <v>71.839871999999986</v>
      </c>
      <c r="J200" s="95">
        <f t="shared" si="161"/>
        <v>1.48</v>
      </c>
      <c r="K200" s="93">
        <f t="shared" si="162"/>
        <v>1080.95060736</v>
      </c>
      <c r="L200" s="95">
        <v>0</v>
      </c>
      <c r="M200" s="93">
        <f t="shared" si="163"/>
        <v>0</v>
      </c>
      <c r="N200" s="23">
        <f t="shared" si="166"/>
        <v>1811.32263936</v>
      </c>
      <c r="O200" s="99"/>
      <c r="P200" s="99"/>
      <c r="Q200" s="99"/>
      <c r="R200" s="8">
        <f t="shared" si="164"/>
        <v>301.88710656000001</v>
      </c>
      <c r="S200" s="8">
        <f t="shared" si="164"/>
        <v>301.88710656000001</v>
      </c>
      <c r="T200" s="8">
        <f t="shared" si="164"/>
        <v>301.88710656000001</v>
      </c>
      <c r="U200" s="8">
        <f t="shared" si="164"/>
        <v>301.88710656000001</v>
      </c>
      <c r="V200" s="8">
        <f t="shared" si="164"/>
        <v>301.88710656000001</v>
      </c>
      <c r="W200" s="8">
        <f t="shared" si="164"/>
        <v>301.88710656000001</v>
      </c>
      <c r="X200" s="99" t="s">
        <v>233</v>
      </c>
      <c r="Y200" s="61">
        <f t="shared" si="165"/>
        <v>0</v>
      </c>
      <c r="Z200" s="110" t="str">
        <f>'CORE  2019'!W192</f>
        <v>n</v>
      </c>
    </row>
    <row r="201" spans="1:26">
      <c r="A201" t="str">
        <f>'CORE  2019'!B193</f>
        <v>131.04.01.02</v>
      </c>
      <c r="B201" t="str">
        <f>'CORE  2019'!C193</f>
        <v>Support Labor</v>
      </c>
      <c r="C201" s="110" t="str">
        <f>'CORE  2019'!D193</f>
        <v>N/A</v>
      </c>
      <c r="D201" t="str">
        <f>'CORE  2019'!E193</f>
        <v>Ventil./water/network on call (2 FTE, 6years)</v>
      </c>
      <c r="E201" s="108">
        <f>'CORE  2019'!J193</f>
        <v>1197.3311999999999</v>
      </c>
      <c r="F201" s="94">
        <f t="shared" si="157"/>
        <v>0.1</v>
      </c>
      <c r="G201" s="93">
        <f t="shared" si="158"/>
        <v>119.73311999999999</v>
      </c>
      <c r="H201" s="94">
        <f t="shared" si="159"/>
        <v>0.12</v>
      </c>
      <c r="I201" s="93">
        <f t="shared" si="160"/>
        <v>143.67974399999997</v>
      </c>
      <c r="J201" s="95">
        <f t="shared" si="161"/>
        <v>1.48</v>
      </c>
      <c r="K201" s="93">
        <f t="shared" si="162"/>
        <v>2161.9012147200001</v>
      </c>
      <c r="L201" s="95">
        <v>0</v>
      </c>
      <c r="M201" s="93">
        <f t="shared" si="163"/>
        <v>0</v>
      </c>
      <c r="N201" s="23">
        <f t="shared" si="166"/>
        <v>3622.6452787200001</v>
      </c>
      <c r="O201" s="99"/>
      <c r="P201" s="99"/>
      <c r="Q201" s="99"/>
      <c r="R201" s="8">
        <f t="shared" si="164"/>
        <v>603.77421312000001</v>
      </c>
      <c r="S201" s="8">
        <f t="shared" si="164"/>
        <v>603.77421312000001</v>
      </c>
      <c r="T201" s="8">
        <f t="shared" si="164"/>
        <v>603.77421312000001</v>
      </c>
      <c r="U201" s="8">
        <f t="shared" si="164"/>
        <v>603.77421312000001</v>
      </c>
      <c r="V201" s="8">
        <f t="shared" si="164"/>
        <v>603.77421312000001</v>
      </c>
      <c r="W201" s="8">
        <f t="shared" si="164"/>
        <v>603.77421312000001</v>
      </c>
      <c r="X201" s="99" t="s">
        <v>233</v>
      </c>
      <c r="Y201" s="61">
        <f t="shared" si="165"/>
        <v>0</v>
      </c>
      <c r="Z201" s="110" t="str">
        <f>'CORE  2019'!W193</f>
        <v>y</v>
      </c>
    </row>
    <row r="202" spans="1:26">
      <c r="A202" t="str">
        <f>'CORE  2019'!B194</f>
        <v>131.04.01.02</v>
      </c>
      <c r="B202" t="str">
        <f>'CORE  2019'!C194</f>
        <v>Support Labor</v>
      </c>
      <c r="C202" s="110" t="str">
        <f>'CORE  2019'!D194</f>
        <v>N/A</v>
      </c>
      <c r="D202" t="str">
        <f>'CORE  2019'!E194</f>
        <v>Surveyors (2 FTE, 6 years)</v>
      </c>
      <c r="E202" s="108">
        <f>'CORE  2019'!J194</f>
        <v>1080</v>
      </c>
      <c r="F202" s="94">
        <f t="shared" si="157"/>
        <v>0.1</v>
      </c>
      <c r="G202" s="93">
        <f t="shared" si="158"/>
        <v>108</v>
      </c>
      <c r="H202" s="94">
        <f t="shared" si="159"/>
        <v>0.12</v>
      </c>
      <c r="I202" s="93">
        <f t="shared" si="160"/>
        <v>129.6</v>
      </c>
      <c r="J202" s="95">
        <f t="shared" si="161"/>
        <v>1.48</v>
      </c>
      <c r="K202" s="93">
        <f t="shared" si="162"/>
        <v>1950.0479999999998</v>
      </c>
      <c r="L202" s="95">
        <v>0</v>
      </c>
      <c r="M202" s="93">
        <f t="shared" si="163"/>
        <v>0</v>
      </c>
      <c r="N202" s="23">
        <f t="shared" si="166"/>
        <v>3267.6479999999997</v>
      </c>
      <c r="O202" s="99"/>
      <c r="P202" s="99"/>
      <c r="Q202" s="99"/>
      <c r="R202" s="8">
        <f t="shared" si="164"/>
        <v>544.60799999999995</v>
      </c>
      <c r="S202" s="8">
        <f t="shared" si="164"/>
        <v>544.60799999999995</v>
      </c>
      <c r="T202" s="8">
        <f t="shared" si="164"/>
        <v>544.60799999999995</v>
      </c>
      <c r="U202" s="8">
        <f t="shared" si="164"/>
        <v>544.60799999999995</v>
      </c>
      <c r="V202" s="8">
        <f t="shared" si="164"/>
        <v>544.60799999999995</v>
      </c>
      <c r="W202" s="8">
        <f t="shared" si="164"/>
        <v>544.60799999999995</v>
      </c>
      <c r="X202" s="99" t="s">
        <v>233</v>
      </c>
      <c r="Y202" s="61">
        <f t="shared" si="165"/>
        <v>0</v>
      </c>
      <c r="Z202" s="110" t="str">
        <f>'CORE  2019'!W194</f>
        <v>y</v>
      </c>
    </row>
    <row r="203" spans="1:26">
      <c r="A203" t="str">
        <f>'CORE  2019'!B195</f>
        <v>131.04.01.02</v>
      </c>
      <c r="B203" t="str">
        <f>'CORE  2019'!C195</f>
        <v>Support Labor</v>
      </c>
      <c r="C203" s="110" t="str">
        <f>'CORE  2019'!D195</f>
        <v>N/A</v>
      </c>
      <c r="D203" t="str">
        <f>'CORE  2019'!E195</f>
        <v>Transport crews to cavern (12 FTE,6years)</v>
      </c>
      <c r="E203" s="108">
        <f>'CORE  2019'!J195</f>
        <v>7183.9871999999996</v>
      </c>
      <c r="F203" s="94">
        <f t="shared" si="157"/>
        <v>0.1</v>
      </c>
      <c r="G203" s="93">
        <f t="shared" si="158"/>
        <v>718.39872000000003</v>
      </c>
      <c r="H203" s="94">
        <f t="shared" si="159"/>
        <v>0.12</v>
      </c>
      <c r="I203" s="93">
        <f t="shared" si="160"/>
        <v>862.07846399999994</v>
      </c>
      <c r="J203" s="95">
        <f t="shared" si="161"/>
        <v>1.48</v>
      </c>
      <c r="K203" s="93">
        <f t="shared" si="162"/>
        <v>12971.407288319999</v>
      </c>
      <c r="L203" s="95">
        <v>0</v>
      </c>
      <c r="M203" s="93">
        <f t="shared" si="163"/>
        <v>0</v>
      </c>
      <c r="N203" s="23">
        <f t="shared" si="166"/>
        <v>21735.871672319998</v>
      </c>
      <c r="O203" s="99"/>
      <c r="P203" s="99"/>
      <c r="Q203" s="99"/>
      <c r="R203" s="8">
        <f t="shared" si="164"/>
        <v>3622.6452787199996</v>
      </c>
      <c r="S203" s="8">
        <f t="shared" si="164"/>
        <v>3622.6452787199996</v>
      </c>
      <c r="T203" s="8">
        <f t="shared" si="164"/>
        <v>3622.6452787199996</v>
      </c>
      <c r="U203" s="8">
        <f t="shared" si="164"/>
        <v>3622.6452787199996</v>
      </c>
      <c r="V203" s="8">
        <f t="shared" si="164"/>
        <v>3622.6452787199996</v>
      </c>
      <c r="W203" s="8">
        <f t="shared" si="164"/>
        <v>3622.6452787199996</v>
      </c>
      <c r="X203" s="99" t="s">
        <v>233</v>
      </c>
      <c r="Y203" s="61">
        <f t="shared" si="165"/>
        <v>0</v>
      </c>
      <c r="Z203" s="110" t="str">
        <f>'CORE  2019'!W195</f>
        <v>y</v>
      </c>
    </row>
    <row r="204" spans="1:26">
      <c r="A204" t="str">
        <f>'CORE  2019'!B196</f>
        <v>131.04.01.02</v>
      </c>
      <c r="B204" t="str">
        <f>'CORE  2019'!C196</f>
        <v>Support Labor</v>
      </c>
      <c r="C204" s="110" t="str">
        <f>'CORE  2019'!D196</f>
        <v>N/A</v>
      </c>
      <c r="D204" t="str">
        <f>'CORE  2019'!E196</f>
        <v>Safety coordination (3 FTE,6 years)</v>
      </c>
      <c r="E204" s="108">
        <f>'CORE  2019'!J196</f>
        <v>1800</v>
      </c>
      <c r="F204" s="94">
        <f t="shared" si="157"/>
        <v>0.1</v>
      </c>
      <c r="G204" s="93">
        <f t="shared" si="158"/>
        <v>180</v>
      </c>
      <c r="H204" s="94">
        <f t="shared" si="159"/>
        <v>0.12</v>
      </c>
      <c r="I204" s="93">
        <f t="shared" si="160"/>
        <v>216</v>
      </c>
      <c r="J204" s="95">
        <f t="shared" si="161"/>
        <v>1.48</v>
      </c>
      <c r="K204" s="93">
        <f t="shared" si="162"/>
        <v>3250.08</v>
      </c>
      <c r="L204" s="95">
        <v>0</v>
      </c>
      <c r="M204" s="93">
        <f t="shared" si="163"/>
        <v>0</v>
      </c>
      <c r="N204" s="23">
        <f t="shared" si="166"/>
        <v>5446.08</v>
      </c>
      <c r="O204" s="99"/>
      <c r="P204" s="99"/>
      <c r="Q204" s="99"/>
      <c r="R204" s="8">
        <f t="shared" si="164"/>
        <v>907.68</v>
      </c>
      <c r="S204" s="8">
        <f t="shared" si="164"/>
        <v>907.68</v>
      </c>
      <c r="T204" s="8">
        <f t="shared" si="164"/>
        <v>907.68</v>
      </c>
      <c r="U204" s="8">
        <f t="shared" si="164"/>
        <v>907.68</v>
      </c>
      <c r="V204" s="8">
        <f t="shared" si="164"/>
        <v>907.68</v>
      </c>
      <c r="W204" s="8">
        <f t="shared" si="164"/>
        <v>907.68</v>
      </c>
      <c r="X204" s="99" t="s">
        <v>233</v>
      </c>
      <c r="Y204" s="61">
        <f t="shared" si="165"/>
        <v>0</v>
      </c>
      <c r="Z204" s="110" t="str">
        <f>'CORE  2019'!W196</f>
        <v>y</v>
      </c>
    </row>
    <row r="205" spans="1:26">
      <c r="K205" s="93" t="s">
        <v>0</v>
      </c>
    </row>
    <row r="263" spans="3:11">
      <c r="D263" t="str">
        <f>'CORE  2019'!E252</f>
        <v>SDSD M&amp;S</v>
      </c>
      <c r="E263" s="87">
        <f>C172+C113+C98+C86+C71+C63</f>
        <v>36556.985173173998</v>
      </c>
      <c r="J263" s="136" t="s">
        <v>232</v>
      </c>
    </row>
    <row r="264" spans="3:11">
      <c r="D264" t="str">
        <f>'CORE  2019'!E253</f>
        <v>SDSD labor</v>
      </c>
      <c r="E264" s="87">
        <f>C187+C197</f>
        <v>72713.79459071999</v>
      </c>
      <c r="J264" s="136" t="s">
        <v>234</v>
      </c>
    </row>
    <row r="265" spans="3:11">
      <c r="D265" t="str">
        <f>'CORE  2019'!E254</f>
        <v>I&amp;I M&amp;S</v>
      </c>
      <c r="E265" s="87">
        <f>D15+D49+D55+D86+D113+D151+D159+D172</f>
        <v>37443.589081981117</v>
      </c>
      <c r="J265" s="136" t="s">
        <v>305</v>
      </c>
    </row>
    <row r="266" spans="3:11">
      <c r="D266" t="str">
        <f>'CORE  2019'!E255</f>
        <v>I&amp;I labor</v>
      </c>
      <c r="E266" s="87">
        <f>C15+C49+C159+D187</f>
        <v>34774.914651904</v>
      </c>
      <c r="J266" s="136" t="s">
        <v>235</v>
      </c>
    </row>
    <row r="267" spans="3:11">
      <c r="C267" s="110" t="s">
        <v>0</v>
      </c>
      <c r="E267" s="98"/>
      <c r="G267" t="s">
        <v>0</v>
      </c>
    </row>
    <row r="268" spans="3:11">
      <c r="D268" t="str">
        <f>'CORE  2019'!E257</f>
        <v>total [K$]</v>
      </c>
      <c r="E268" s="108">
        <f>SUM(E262:E266)</f>
        <v>181489.28349777908</v>
      </c>
      <c r="K268" s="137" t="s">
        <v>0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M34" sqref="M34"/>
    </sheetView>
  </sheetViews>
  <sheetFormatPr defaultColWidth="11" defaultRowHeight="15.75"/>
  <cols>
    <col min="2" max="2" width="31.625" customWidth="1"/>
    <col min="3" max="3" width="22.625" customWidth="1"/>
    <col min="5" max="7" width="5.625" customWidth="1"/>
    <col min="8" max="8" width="5.5" customWidth="1"/>
    <col min="9" max="9" width="5.875" customWidth="1"/>
    <col min="10" max="12" width="5.375" customWidth="1"/>
    <col min="15" max="15" width="14.5" customWidth="1"/>
    <col min="16" max="16" width="12.125" customWidth="1"/>
  </cols>
  <sheetData>
    <row r="1" spans="1:17">
      <c r="A1" t="s">
        <v>438</v>
      </c>
    </row>
    <row r="3" spans="1:17">
      <c r="B3" s="162" t="s">
        <v>401</v>
      </c>
      <c r="C3" s="162" t="s">
        <v>402</v>
      </c>
      <c r="D3" s="162" t="s">
        <v>0</v>
      </c>
      <c r="E3" s="162" t="s">
        <v>403</v>
      </c>
      <c r="F3" s="162" t="s">
        <v>404</v>
      </c>
      <c r="G3" s="162" t="s">
        <v>405</v>
      </c>
      <c r="H3" s="162" t="s">
        <v>406</v>
      </c>
      <c r="I3" s="162" t="s">
        <v>407</v>
      </c>
      <c r="J3" s="162" t="s">
        <v>408</v>
      </c>
      <c r="K3" s="162" t="s">
        <v>409</v>
      </c>
      <c r="L3" s="162" t="s">
        <v>410</v>
      </c>
      <c r="M3" s="162" t="s">
        <v>411</v>
      </c>
      <c r="N3" s="162" t="s">
        <v>412</v>
      </c>
      <c r="O3" s="162" t="s">
        <v>434</v>
      </c>
    </row>
    <row r="4" spans="1:17">
      <c r="A4" s="129" t="s">
        <v>400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t="s">
        <v>441</v>
      </c>
      <c r="Q4" s="121" t="s">
        <v>435</v>
      </c>
    </row>
    <row r="5" spans="1:17">
      <c r="A5" s="130" t="s">
        <v>430</v>
      </c>
      <c r="B5" s="129" t="s">
        <v>413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7">
      <c r="A6" s="130" t="s">
        <v>430</v>
      </c>
      <c r="B6" s="129" t="s">
        <v>415</v>
      </c>
      <c r="C6" s="130" t="s">
        <v>432</v>
      </c>
      <c r="D6" s="129" t="s">
        <v>414</v>
      </c>
      <c r="E6" s="129"/>
      <c r="F6" s="129">
        <v>1</v>
      </c>
      <c r="G6" s="129">
        <v>1</v>
      </c>
      <c r="H6" s="129">
        <v>1</v>
      </c>
      <c r="I6" s="129">
        <v>1</v>
      </c>
      <c r="J6" s="129">
        <v>1</v>
      </c>
      <c r="K6" s="129">
        <v>1</v>
      </c>
      <c r="L6" s="129">
        <v>1</v>
      </c>
      <c r="M6" s="129">
        <v>3</v>
      </c>
      <c r="N6" s="129">
        <v>3</v>
      </c>
      <c r="O6" s="131">
        <v>14250</v>
      </c>
      <c r="P6" s="141"/>
      <c r="Q6" s="87">
        <f t="shared" ref="Q6:Q12" si="0">P6*SUM(F6:L6)+O6</f>
        <v>14250</v>
      </c>
    </row>
    <row r="7" spans="1:17">
      <c r="A7" s="130" t="s">
        <v>430</v>
      </c>
      <c r="B7" s="129" t="s">
        <v>416</v>
      </c>
      <c r="C7" s="129" t="s">
        <v>417</v>
      </c>
      <c r="D7" s="129"/>
      <c r="E7" s="129"/>
      <c r="F7" s="129" t="s">
        <v>418</v>
      </c>
      <c r="G7" s="129" t="s">
        <v>418</v>
      </c>
      <c r="H7" s="129" t="s">
        <v>418</v>
      </c>
      <c r="I7" s="129"/>
      <c r="J7" s="129"/>
      <c r="K7" s="129"/>
      <c r="L7" s="129"/>
      <c r="M7" s="129">
        <v>4</v>
      </c>
      <c r="N7" s="129">
        <v>4</v>
      </c>
      <c r="O7" s="131">
        <v>19000</v>
      </c>
      <c r="P7" s="129">
        <v>0</v>
      </c>
      <c r="Q7" s="87">
        <f t="shared" si="0"/>
        <v>19000</v>
      </c>
    </row>
    <row r="8" spans="1:17">
      <c r="A8" s="130" t="s">
        <v>430</v>
      </c>
      <c r="B8" s="129" t="s">
        <v>419</v>
      </c>
      <c r="C8" s="129" t="s">
        <v>420</v>
      </c>
      <c r="D8" s="129" t="s">
        <v>421</v>
      </c>
      <c r="E8" s="129"/>
      <c r="F8" s="129">
        <v>1</v>
      </c>
      <c r="G8" s="129">
        <v>1</v>
      </c>
      <c r="H8" s="129">
        <v>1</v>
      </c>
      <c r="I8" s="129">
        <v>1</v>
      </c>
      <c r="J8" s="129">
        <v>1</v>
      </c>
      <c r="K8" s="129">
        <v>1</v>
      </c>
      <c r="L8" s="129">
        <v>1</v>
      </c>
      <c r="M8" s="129">
        <v>2</v>
      </c>
      <c r="N8" s="129">
        <v>1</v>
      </c>
      <c r="O8" s="131">
        <v>6000</v>
      </c>
      <c r="P8" s="141"/>
      <c r="Q8" s="87">
        <f t="shared" si="0"/>
        <v>6000</v>
      </c>
    </row>
    <row r="9" spans="1:17">
      <c r="A9" s="130" t="s">
        <v>430</v>
      </c>
      <c r="B9" s="129" t="s">
        <v>422</v>
      </c>
      <c r="C9" s="129" t="s">
        <v>423</v>
      </c>
      <c r="D9" s="129" t="s">
        <v>424</v>
      </c>
      <c r="E9" s="129"/>
      <c r="F9" s="129">
        <v>1</v>
      </c>
      <c r="G9" s="129">
        <v>1</v>
      </c>
      <c r="H9" s="129">
        <v>1</v>
      </c>
      <c r="I9" s="129">
        <v>1</v>
      </c>
      <c r="J9" s="129">
        <v>1</v>
      </c>
      <c r="K9" s="129">
        <v>1</v>
      </c>
      <c r="L9" s="129">
        <v>1</v>
      </c>
      <c r="M9" s="129">
        <v>2</v>
      </c>
      <c r="N9" s="129">
        <v>1</v>
      </c>
      <c r="O9" s="131">
        <v>6000</v>
      </c>
      <c r="P9" s="141"/>
      <c r="Q9" s="87">
        <f t="shared" si="0"/>
        <v>6000</v>
      </c>
    </row>
    <row r="10" spans="1:17">
      <c r="A10" s="130" t="s">
        <v>430</v>
      </c>
      <c r="B10" s="129" t="s">
        <v>425</v>
      </c>
      <c r="C10" s="130" t="s">
        <v>432</v>
      </c>
      <c r="D10" s="129" t="s">
        <v>414</v>
      </c>
      <c r="E10" s="129"/>
      <c r="F10" s="129">
        <v>2</v>
      </c>
      <c r="G10" s="129">
        <v>2</v>
      </c>
      <c r="H10" s="129">
        <v>2</v>
      </c>
      <c r="I10" s="129">
        <v>2</v>
      </c>
      <c r="J10" s="129">
        <v>2</v>
      </c>
      <c r="K10" s="129">
        <v>2</v>
      </c>
      <c r="L10" s="129">
        <v>1</v>
      </c>
      <c r="M10" s="129">
        <v>2</v>
      </c>
      <c r="N10" s="129">
        <v>1</v>
      </c>
      <c r="O10" s="131">
        <v>6000</v>
      </c>
      <c r="P10" s="141"/>
      <c r="Q10" s="87">
        <f t="shared" si="0"/>
        <v>6000</v>
      </c>
    </row>
    <row r="11" spans="1:17" s="130" customFormat="1">
      <c r="A11" s="130" t="s">
        <v>430</v>
      </c>
      <c r="B11" s="130" t="s">
        <v>426</v>
      </c>
      <c r="C11" s="130" t="s">
        <v>428</v>
      </c>
      <c r="D11" s="130" t="s">
        <v>414</v>
      </c>
      <c r="F11" s="130">
        <v>1</v>
      </c>
      <c r="G11" s="130">
        <v>1</v>
      </c>
      <c r="H11" s="130">
        <v>1</v>
      </c>
      <c r="I11" s="130">
        <v>1</v>
      </c>
      <c r="J11" s="130">
        <v>1</v>
      </c>
      <c r="K11" s="130">
        <v>1</v>
      </c>
      <c r="L11" s="130">
        <v>1</v>
      </c>
      <c r="M11" s="129">
        <v>4</v>
      </c>
      <c r="N11" s="129">
        <v>4</v>
      </c>
      <c r="O11" s="131">
        <v>19000</v>
      </c>
      <c r="P11" s="140">
        <v>270000</v>
      </c>
      <c r="Q11" s="87">
        <f t="shared" si="0"/>
        <v>1909000</v>
      </c>
    </row>
    <row r="12" spans="1:17" s="130" customFormat="1">
      <c r="A12" s="130" t="s">
        <v>430</v>
      </c>
      <c r="B12" s="130" t="s">
        <v>427</v>
      </c>
      <c r="C12" s="130" t="s">
        <v>429</v>
      </c>
      <c r="D12" s="130" t="s">
        <v>414</v>
      </c>
      <c r="F12" s="130">
        <v>1</v>
      </c>
      <c r="G12" s="130">
        <v>1</v>
      </c>
      <c r="H12" s="130">
        <v>1</v>
      </c>
      <c r="I12" s="130">
        <v>1</v>
      </c>
      <c r="J12" s="130">
        <v>1</v>
      </c>
      <c r="K12" s="130">
        <v>1</v>
      </c>
      <c r="L12" s="130">
        <v>1</v>
      </c>
      <c r="M12" s="129">
        <v>4</v>
      </c>
      <c r="N12" s="129">
        <v>4</v>
      </c>
      <c r="O12" s="131">
        <v>19000</v>
      </c>
      <c r="P12" s="140">
        <v>160000</v>
      </c>
      <c r="Q12" s="87">
        <f t="shared" si="0"/>
        <v>1139000</v>
      </c>
    </row>
    <row r="13" spans="1:17">
      <c r="Q13" s="87"/>
    </row>
    <row r="14" spans="1:17">
      <c r="Q14" s="87"/>
    </row>
    <row r="15" spans="1:17" s="137" customFormat="1">
      <c r="A15" s="130" t="s">
        <v>430</v>
      </c>
      <c r="B15" s="138" t="s">
        <v>484</v>
      </c>
      <c r="Q15" s="87"/>
    </row>
    <row r="16" spans="1:17" s="134" customFormat="1">
      <c r="A16" s="130" t="s">
        <v>431</v>
      </c>
      <c r="B16" s="130" t="s">
        <v>476</v>
      </c>
      <c r="C16" s="130" t="s">
        <v>480</v>
      </c>
      <c r="D16" s="130" t="s">
        <v>433</v>
      </c>
      <c r="F16" s="130">
        <v>1</v>
      </c>
      <c r="G16" s="130">
        <v>1</v>
      </c>
      <c r="H16" s="130">
        <v>1</v>
      </c>
      <c r="I16" s="130">
        <v>1</v>
      </c>
      <c r="J16" s="130">
        <v>1</v>
      </c>
      <c r="K16" s="130">
        <v>1</v>
      </c>
      <c r="L16" s="130">
        <v>1</v>
      </c>
      <c r="M16" s="135">
        <v>12</v>
      </c>
      <c r="N16" s="135">
        <v>3</v>
      </c>
      <c r="O16" s="142"/>
      <c r="P16" s="142"/>
      <c r="Q16" s="87">
        <f t="shared" ref="Q16:Q19" si="1">P16*SUM(F16:L16)+O16</f>
        <v>0</v>
      </c>
    </row>
    <row r="17" spans="1:17" s="134" customFormat="1">
      <c r="A17" s="130" t="s">
        <v>431</v>
      </c>
      <c r="B17" s="130" t="s">
        <v>477</v>
      </c>
      <c r="C17" s="130" t="s">
        <v>481</v>
      </c>
      <c r="D17" s="130" t="s">
        <v>433</v>
      </c>
      <c r="F17" s="130">
        <v>1</v>
      </c>
      <c r="G17" s="130">
        <v>1</v>
      </c>
      <c r="H17" s="130">
        <v>1</v>
      </c>
      <c r="I17" s="130">
        <v>1</v>
      </c>
      <c r="J17" s="130">
        <v>1</v>
      </c>
      <c r="K17" s="130">
        <v>1</v>
      </c>
      <c r="L17" s="130">
        <v>1</v>
      </c>
      <c r="M17" s="135">
        <v>6</v>
      </c>
      <c r="N17" s="135">
        <v>1</v>
      </c>
      <c r="O17" s="142"/>
      <c r="P17" s="142"/>
      <c r="Q17" s="87">
        <f t="shared" si="1"/>
        <v>0</v>
      </c>
    </row>
    <row r="18" spans="1:17" s="134" customFormat="1">
      <c r="A18" s="130" t="s">
        <v>431</v>
      </c>
      <c r="B18" s="130" t="s">
        <v>478</v>
      </c>
      <c r="C18" s="130" t="s">
        <v>482</v>
      </c>
      <c r="D18" s="130" t="s">
        <v>433</v>
      </c>
      <c r="F18" s="130">
        <v>1</v>
      </c>
      <c r="G18" s="130">
        <v>1</v>
      </c>
      <c r="H18" s="130">
        <v>1</v>
      </c>
      <c r="I18" s="130">
        <v>1</v>
      </c>
      <c r="J18" s="130">
        <v>1</v>
      </c>
      <c r="K18" s="130">
        <v>1</v>
      </c>
      <c r="L18" s="130">
        <v>1</v>
      </c>
      <c r="M18" s="135">
        <v>4</v>
      </c>
      <c r="N18" s="135">
        <v>1</v>
      </c>
      <c r="O18" s="142"/>
      <c r="P18" s="142"/>
      <c r="Q18" s="87">
        <f t="shared" si="1"/>
        <v>0</v>
      </c>
    </row>
    <row r="19" spans="1:17" s="134" customFormat="1">
      <c r="A19" s="130" t="s">
        <v>431</v>
      </c>
      <c r="B19" s="130" t="s">
        <v>479</v>
      </c>
      <c r="C19" s="130" t="s">
        <v>483</v>
      </c>
      <c r="D19" s="130" t="s">
        <v>433</v>
      </c>
      <c r="F19" s="130">
        <v>1</v>
      </c>
      <c r="G19" s="130">
        <v>1</v>
      </c>
      <c r="H19" s="130">
        <v>1</v>
      </c>
      <c r="I19" s="130">
        <v>1</v>
      </c>
      <c r="J19" s="130">
        <v>1</v>
      </c>
      <c r="K19" s="130">
        <v>1</v>
      </c>
      <c r="L19" s="130">
        <v>1</v>
      </c>
      <c r="M19" s="135">
        <v>2</v>
      </c>
      <c r="N19" s="135">
        <v>0</v>
      </c>
      <c r="O19" s="142"/>
      <c r="P19" s="142"/>
      <c r="Q19" s="87">
        <f t="shared" si="1"/>
        <v>0</v>
      </c>
    </row>
    <row r="20" spans="1:17">
      <c r="A20" s="130" t="s">
        <v>431</v>
      </c>
      <c r="B20" s="130" t="s">
        <v>440</v>
      </c>
      <c r="C20" s="130" t="s">
        <v>432</v>
      </c>
      <c r="D20" s="130" t="s">
        <v>433</v>
      </c>
      <c r="F20" s="130">
        <v>2</v>
      </c>
      <c r="G20" s="130">
        <v>2</v>
      </c>
      <c r="H20" s="130">
        <v>2</v>
      </c>
      <c r="I20" s="130">
        <v>2</v>
      </c>
      <c r="J20" s="130">
        <v>2</v>
      </c>
      <c r="K20" s="130">
        <v>2</v>
      </c>
      <c r="L20" s="130">
        <v>2</v>
      </c>
      <c r="M20" s="129">
        <v>0</v>
      </c>
      <c r="N20" s="129">
        <v>0</v>
      </c>
      <c r="O20" s="138">
        <v>0</v>
      </c>
      <c r="P20" s="129">
        <v>335000</v>
      </c>
      <c r="Q20" s="87">
        <f>P20*SUM(F20:L20)+O20</f>
        <v>4690000</v>
      </c>
    </row>
    <row r="21" spans="1:17">
      <c r="A21" s="130" t="s">
        <v>431</v>
      </c>
      <c r="B21" s="130" t="s">
        <v>436</v>
      </c>
      <c r="C21" s="130" t="s">
        <v>432</v>
      </c>
      <c r="D21" s="130" t="s">
        <v>433</v>
      </c>
      <c r="F21" s="130">
        <v>1</v>
      </c>
      <c r="G21" s="130">
        <v>1</v>
      </c>
      <c r="H21" s="130">
        <v>1</v>
      </c>
      <c r="I21" s="130">
        <v>1</v>
      </c>
      <c r="J21" s="130">
        <v>1</v>
      </c>
      <c r="K21" s="130">
        <v>1</v>
      </c>
      <c r="L21" s="130">
        <v>1</v>
      </c>
      <c r="M21" s="129">
        <v>0</v>
      </c>
      <c r="N21" s="129">
        <v>0</v>
      </c>
      <c r="O21" s="138">
        <v>0</v>
      </c>
      <c r="P21" s="129">
        <v>295000</v>
      </c>
      <c r="Q21" s="87">
        <f>P21*SUM(F21:L21)+O21</f>
        <v>2065000</v>
      </c>
    </row>
    <row r="22" spans="1:17">
      <c r="A22" s="130" t="s">
        <v>431</v>
      </c>
      <c r="B22" s="130" t="s">
        <v>437</v>
      </c>
      <c r="C22" s="130" t="s">
        <v>432</v>
      </c>
      <c r="D22" s="130" t="s">
        <v>433</v>
      </c>
      <c r="E22" s="121"/>
      <c r="F22" s="130">
        <v>1</v>
      </c>
      <c r="G22" s="130">
        <v>1</v>
      </c>
      <c r="H22" s="130">
        <v>1</v>
      </c>
      <c r="I22" s="130">
        <v>1</v>
      </c>
      <c r="J22" s="130">
        <v>1</v>
      </c>
      <c r="K22" s="130">
        <v>1</v>
      </c>
      <c r="L22" s="130">
        <v>1</v>
      </c>
      <c r="M22" s="129">
        <v>0</v>
      </c>
      <c r="N22" s="129">
        <v>0</v>
      </c>
      <c r="O22" s="138">
        <v>0</v>
      </c>
      <c r="P22" s="138">
        <v>295000</v>
      </c>
      <c r="Q22" s="87">
        <f>P22*SUM(F22:L22)+O22</f>
        <v>2065000</v>
      </c>
    </row>
    <row r="23" spans="1:17">
      <c r="A23" s="130" t="s">
        <v>431</v>
      </c>
      <c r="B23" s="130" t="s">
        <v>439</v>
      </c>
      <c r="C23" s="130" t="s">
        <v>432</v>
      </c>
      <c r="D23" s="130" t="s">
        <v>433</v>
      </c>
      <c r="E23" s="121"/>
      <c r="F23" s="130">
        <v>2</v>
      </c>
      <c r="G23" s="130">
        <v>2</v>
      </c>
      <c r="H23" s="130">
        <v>2</v>
      </c>
      <c r="I23" s="130">
        <v>2</v>
      </c>
      <c r="J23" s="130">
        <v>2</v>
      </c>
      <c r="K23" s="130">
        <v>2</v>
      </c>
      <c r="L23" s="130">
        <v>2</v>
      </c>
      <c r="M23" s="129">
        <v>0</v>
      </c>
      <c r="N23" s="129">
        <v>0</v>
      </c>
      <c r="O23" s="138">
        <v>0</v>
      </c>
      <c r="P23" s="129">
        <v>335000</v>
      </c>
      <c r="Q23" s="87">
        <f>P23*SUM(F23:L23)+O23</f>
        <v>4690000</v>
      </c>
    </row>
    <row r="24" spans="1:17">
      <c r="Q24" s="87"/>
    </row>
    <row r="25" spans="1:17">
      <c r="Q25" s="87"/>
    </row>
    <row r="26" spans="1:17">
      <c r="A26" s="130" t="s">
        <v>88</v>
      </c>
      <c r="F26">
        <f t="shared" ref="F26:O26" si="2">SUM(F6:F23)</f>
        <v>17</v>
      </c>
      <c r="G26" s="121">
        <f t="shared" si="2"/>
        <v>17</v>
      </c>
      <c r="H26" s="121">
        <f t="shared" si="2"/>
        <v>17</v>
      </c>
      <c r="I26" s="121">
        <f t="shared" si="2"/>
        <v>17</v>
      </c>
      <c r="J26" s="121">
        <f t="shared" si="2"/>
        <v>17</v>
      </c>
      <c r="K26" s="121">
        <f t="shared" si="2"/>
        <v>17</v>
      </c>
      <c r="L26" s="121">
        <f t="shared" si="2"/>
        <v>16</v>
      </c>
      <c r="M26" s="121">
        <f t="shared" si="2"/>
        <v>45</v>
      </c>
      <c r="N26" s="121">
        <f t="shared" si="2"/>
        <v>23</v>
      </c>
      <c r="O26" s="121">
        <f t="shared" si="2"/>
        <v>89250</v>
      </c>
      <c r="Q26" s="87">
        <f>SUM(Q6:Q23)</f>
        <v>16609250</v>
      </c>
    </row>
    <row r="27" spans="1:17">
      <c r="K27" s="121" t="s">
        <v>0</v>
      </c>
    </row>
  </sheetData>
  <mergeCells count="14"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L3:L4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C13B-C338-4542-B2C0-6EF4804569A3}">
  <dimension ref="A1:G679"/>
  <sheetViews>
    <sheetView tabSelected="1" zoomScale="115" zoomScaleNormal="115" workbookViewId="0">
      <pane ySplit="1" topLeftCell="A26" activePane="bottomLeft" state="frozen"/>
      <selection pane="bottomLeft" activeCell="C7" sqref="C7"/>
    </sheetView>
  </sheetViews>
  <sheetFormatPr defaultRowHeight="15.75"/>
  <cols>
    <col min="1" max="1" width="37.375" style="153" customWidth="1"/>
    <col min="2" max="2" width="32.875" style="153" customWidth="1"/>
    <col min="3" max="3" width="30" style="153" customWidth="1"/>
    <col min="4" max="4" width="33.625" style="153" customWidth="1"/>
    <col min="5" max="5" width="33.5" style="153" customWidth="1"/>
    <col min="6" max="16384" width="9" style="153"/>
  </cols>
  <sheetData>
    <row r="1" spans="1:5" ht="46.5">
      <c r="A1" s="152" t="s">
        <v>594</v>
      </c>
      <c r="B1" s="163" t="s">
        <v>592</v>
      </c>
      <c r="C1" s="163" t="s">
        <v>593</v>
      </c>
      <c r="D1" s="152" t="s">
        <v>537</v>
      </c>
      <c r="E1" s="152" t="s">
        <v>538</v>
      </c>
    </row>
    <row r="2" spans="1:5" s="158" customFormat="1" ht="31.5">
      <c r="A2" s="154" t="s">
        <v>539</v>
      </c>
      <c r="B2" s="154" t="s">
        <v>571</v>
      </c>
      <c r="C2" s="158" t="s">
        <v>586</v>
      </c>
      <c r="D2" s="158" t="str">
        <f>CONCATENATE('CORE  2019'!C144," ", 'CORE  2019'!E144)</f>
        <v>Computer Racks CUC water cooled racks</v>
      </c>
    </row>
    <row r="3" spans="1:5" s="158" customFormat="1" ht="31.5">
      <c r="A3" s="155" t="s">
        <v>540</v>
      </c>
      <c r="B3" s="154" t="s">
        <v>85</v>
      </c>
      <c r="C3" s="158" t="s">
        <v>587</v>
      </c>
      <c r="D3" s="158" t="str">
        <f>CONCATENATE('CORE  2019'!C145," ", 'CORE  2019'!E145)</f>
        <v>Services Racks CUC water distribution</v>
      </c>
    </row>
    <row r="4" spans="1:5" s="158" customFormat="1" ht="31.5">
      <c r="A4" s="154" t="s">
        <v>541</v>
      </c>
      <c r="B4" s="155" t="s">
        <v>240</v>
      </c>
      <c r="C4" s="158" t="s">
        <v>588</v>
      </c>
      <c r="D4" s="158" t="str">
        <f>CONCATENATE('CORE  2019'!C146," ", 'CORE  2019'!E146)</f>
        <v xml:space="preserve">Services Racks CUC CUC DAQ  AC Power   </v>
      </c>
    </row>
    <row r="5" spans="1:5" s="158" customFormat="1" ht="31.5">
      <c r="A5" s="156" t="s">
        <v>542</v>
      </c>
      <c r="B5" s="158" t="s">
        <v>572</v>
      </c>
      <c r="C5" s="158" t="s">
        <v>589</v>
      </c>
      <c r="D5" s="158" t="str">
        <f>CONCATENATE('CORE  2019'!C147," ", 'CORE  2019'!E147)</f>
        <v>Services Racks CUC controls and safety + leaks monitor</v>
      </c>
    </row>
    <row r="6" spans="1:5" s="158" customFormat="1" ht="47.25">
      <c r="A6" s="154" t="s">
        <v>543</v>
      </c>
      <c r="B6" s="154" t="s">
        <v>573</v>
      </c>
      <c r="C6" s="158" t="s">
        <v>591</v>
      </c>
      <c r="D6" s="158" t="str">
        <f>CONCATENATE('CORE  2019'!C148," ", 'CORE  2019'!E148)</f>
        <v>Services Racks CUC cable trays and supports in CUC</v>
      </c>
    </row>
    <row r="7" spans="1:5" s="158" customFormat="1" ht="63">
      <c r="A7" s="154" t="s">
        <v>544</v>
      </c>
      <c r="B7" s="154" t="s">
        <v>574</v>
      </c>
      <c r="C7" s="158" t="s">
        <v>590</v>
      </c>
      <c r="D7" s="158" t="str">
        <f>CONCATENATE('CORE  2019'!C149," ", 'CORE  2019'!E149)</f>
        <v>UPS in CUC UPS for all DAQ</v>
      </c>
    </row>
    <row r="8" spans="1:5" s="158" customFormat="1" ht="31.5">
      <c r="A8" s="154" t="s">
        <v>545</v>
      </c>
      <c r="B8" s="154" t="s">
        <v>575</v>
      </c>
      <c r="D8" s="158" t="str">
        <f>CONCATENATE('CORE  2019'!C152," ", 'CORE  2019'!E152)</f>
        <v>Cables/Fibers/Power-cables  fibers bundles APA on the detector roof</v>
      </c>
    </row>
    <row r="9" spans="1:5" s="158" customFormat="1" ht="31.5">
      <c r="A9" s="154" t="s">
        <v>546</v>
      </c>
      <c r="B9" s="157" t="s">
        <v>576</v>
      </c>
      <c r="D9" s="158" t="str">
        <f>CONCATENATE('CORE  2019'!C153," ", 'CORE  2019'!E153)</f>
        <v>Cables/Fibers/Power-cables  pach panels for fibers APA</v>
      </c>
    </row>
    <row r="10" spans="1:5" s="158" customFormat="1" ht="31.5">
      <c r="A10" s="154" t="s">
        <v>547</v>
      </c>
      <c r="B10" s="157" t="s">
        <v>577</v>
      </c>
      <c r="D10" s="158" t="str">
        <f>CONCATENATE('CORE  2019'!C154," ", 'CORE  2019'!E154)</f>
        <v>Cables/Fibers/Power-cables  fibers cords to DAQ room</v>
      </c>
    </row>
    <row r="11" spans="1:5" s="158" customFormat="1" ht="31.5">
      <c r="A11" s="154" t="s">
        <v>548</v>
      </c>
      <c r="B11" s="157" t="s">
        <v>578</v>
      </c>
      <c r="D11" s="158" t="str">
        <f>CONCATENATE('CORE  2019'!C155," ", 'CORE  2019'!E155)</f>
        <v>Cables/Fibers/Power-cables  ethernet cablesfrom DAQ room - det racks</v>
      </c>
    </row>
    <row r="12" spans="1:5" s="158" customFormat="1" ht="31.5">
      <c r="A12" s="154" t="s">
        <v>549</v>
      </c>
      <c r="B12" s="157" t="s">
        <v>579</v>
      </c>
      <c r="D12" s="158" t="str">
        <f>CONCATENATE('CORE  2019'!C156," ", 'CORE  2019'!E156)</f>
        <v>Cables/Fibers/Power-cables  control cables</v>
      </c>
    </row>
    <row r="13" spans="1:5" s="158" customFormat="1" ht="31.5">
      <c r="A13" s="154" t="s">
        <v>550</v>
      </c>
      <c r="B13" s="154" t="s">
        <v>580</v>
      </c>
      <c r="D13" s="158" t="str">
        <f>CONCATENATE('CORE  2019'!C157," ", 'CORE  2019'!E157)</f>
        <v>Cables/Fibers/Power-cables  power cables on the detector roof</v>
      </c>
    </row>
    <row r="14" spans="1:5" s="158" customFormat="1" ht="31.5">
      <c r="A14" s="157" t="s">
        <v>551</v>
      </c>
      <c r="B14" s="154" t="s">
        <v>581</v>
      </c>
      <c r="D14" s="158" t="str">
        <f>CONCATENATE('CORE  2019'!C158," ", 'CORE  2019'!E158)</f>
        <v>Cables/Fibers/Power-cables  power cables to tranformers</v>
      </c>
    </row>
    <row r="15" spans="1:5" s="158" customFormat="1" ht="31.5">
      <c r="A15" s="157" t="s">
        <v>552</v>
      </c>
      <c r="B15" s="154" t="s">
        <v>582</v>
      </c>
      <c r="D15" s="158" t="str">
        <f>CONCATENATE('CORE  2019'!C159," ", 'CORE  2019'!E159)</f>
        <v>Cables/Fibers/Power-cables  transformers for ground decoupling</v>
      </c>
    </row>
    <row r="16" spans="1:5" s="158" customFormat="1" ht="31.5">
      <c r="A16" s="157" t="s">
        <v>553</v>
      </c>
      <c r="B16" s="154" t="s">
        <v>583</v>
      </c>
    </row>
    <row r="17" spans="1:2" s="158" customFormat="1">
      <c r="A17" s="157" t="s">
        <v>554</v>
      </c>
      <c r="B17" s="154" t="s">
        <v>584</v>
      </c>
    </row>
    <row r="18" spans="1:2" s="158" customFormat="1" ht="31.5">
      <c r="A18" s="157" t="s">
        <v>555</v>
      </c>
      <c r="B18" s="154" t="s">
        <v>585</v>
      </c>
    </row>
    <row r="19" spans="1:2" s="158" customFormat="1" ht="31.5">
      <c r="A19" s="154" t="s">
        <v>556</v>
      </c>
      <c r="B19" s="158" t="str">
        <f>CONCATENATE('CORE  2019'!C106," ", 'CORE  2019'!E106)</f>
        <v>Installation Tools basic clean room structure (metallic str.)</v>
      </c>
    </row>
    <row r="20" spans="1:2" s="158" customFormat="1" ht="31.5">
      <c r="A20" s="154" t="s">
        <v>557</v>
      </c>
      <c r="B20" s="158" t="str">
        <f>CONCATENATE('CORE  2019'!C107," ", 'CORE  2019'!E107)</f>
        <v>Installation Tools basic clean room structure(walls)</v>
      </c>
    </row>
    <row r="21" spans="1:2" s="158" customFormat="1" ht="31.5">
      <c r="A21" s="154" t="s">
        <v>558</v>
      </c>
      <c r="B21" s="158" t="str">
        <f>CONCATENATE('CORE  2019'!C108," ", 'CORE  2019'!E108)</f>
        <v>Installation Tools basic clean room structure(doors)</v>
      </c>
    </row>
    <row r="22" spans="1:2" s="158" customFormat="1" ht="31.5">
      <c r="A22" s="154" t="s">
        <v>559</v>
      </c>
      <c r="B22" s="158" t="str">
        <f>CONCATENATE('CORE  2019'!C109," ", 'CORE  2019'!E109)</f>
        <v>Installation Tools clean room infrastructure</v>
      </c>
    </row>
    <row r="23" spans="1:2" s="158" customFormat="1">
      <c r="A23" s="154" t="s">
        <v>560</v>
      </c>
      <c r="B23" s="158" t="str">
        <f>CONCATENATE('CORE  2019'!C110," ", 'CORE  2019'!E110)</f>
        <v>Installation Tools large platforms</v>
      </c>
    </row>
    <row r="24" spans="1:2" s="158" customFormat="1" ht="31.5">
      <c r="A24" s="154" t="s">
        <v>561</v>
      </c>
      <c r="B24" s="158" t="str">
        <f>CONCATENATE('CORE  2019'!C111," ", 'CORE  2019'!E111)</f>
        <v>Installation Tools personnel SAS outfitting</v>
      </c>
    </row>
    <row r="25" spans="1:2" s="158" customFormat="1" ht="31.5">
      <c r="A25" s="154" t="s">
        <v>562</v>
      </c>
      <c r="B25" s="158" t="str">
        <f>CONCATENATE('CORE  2019'!C112," ", 'CORE  2019'!E112)</f>
        <v>Installation Tools internal bridge crane</v>
      </c>
    </row>
    <row r="26" spans="1:2" s="158" customFormat="1" ht="31.5">
      <c r="A26" s="154" t="s">
        <v>563</v>
      </c>
      <c r="B26" s="158" t="str">
        <f>CONCATENATE('CORE  2019'!C113," ", 'CORE  2019'!E113)</f>
        <v>Installation Tools external rails (DSS type) + fixations</v>
      </c>
    </row>
    <row r="27" spans="1:2" s="158" customFormat="1" ht="31.5">
      <c r="A27" s="154" t="s">
        <v>564</v>
      </c>
      <c r="B27" s="158" t="str">
        <f>CONCATENATE('CORE  2019'!C114," ", 'CORE  2019'!E114)</f>
        <v>Installation Tools Cold box access lift</v>
      </c>
    </row>
    <row r="28" spans="1:2" s="158" customFormat="1" ht="31.5">
      <c r="A28" s="154" t="s">
        <v>565</v>
      </c>
      <c r="B28" s="158" t="str">
        <f>CONCATENATE('CORE  2019'!C115," ", 'CORE  2019'!E115)</f>
        <v>Installation Tools ventilation system top man holes</v>
      </c>
    </row>
    <row r="29" spans="1:2" s="158" customFormat="1" ht="31.5">
      <c r="A29" s="154" t="s">
        <v>566</v>
      </c>
      <c r="B29" s="158" t="str">
        <f>CONCATENATE('CORE  2019'!C116," ", 'CORE  2019'!E116)</f>
        <v>Installation Tools cold boxes</v>
      </c>
    </row>
    <row r="30" spans="1:2" s="158" customFormat="1" ht="31.5">
      <c r="A30" s="154" t="s">
        <v>567</v>
      </c>
      <c r="B30" s="158" t="str">
        <f>CONCATENATE('CORE  2019'!C117," ", 'CORE  2019'!E117)</f>
        <v>Installation Tools N2 system for cold boxes</v>
      </c>
    </row>
    <row r="31" spans="1:2" s="158" customFormat="1" ht="31.5">
      <c r="A31" s="155" t="s">
        <v>568</v>
      </c>
      <c r="B31" s="158" t="str">
        <f>CONCATENATE('CORE  2019'!C118," ", 'CORE  2019'!E118)</f>
        <v>Installation Tools CPA assembly tower/frame</v>
      </c>
    </row>
    <row r="32" spans="1:2" s="158" customFormat="1" ht="31.5">
      <c r="A32" s="154" t="s">
        <v>569</v>
      </c>
      <c r="B32" s="158" t="str">
        <f>CONCATENATE('CORE  2019'!C119," ", 'CORE  2019'!E119)</f>
        <v>Installation Tools APA cable installation infrastructure</v>
      </c>
    </row>
    <row r="33" spans="1:7" s="158" customFormat="1" ht="31.5">
      <c r="A33" s="154" t="s">
        <v>570</v>
      </c>
      <c r="B33" s="158" t="str">
        <f>CONCATENATE('CORE  2019'!C120," ", 'CORE  2019'!E120)</f>
        <v>Installation Tools cryostat lights+filters</v>
      </c>
    </row>
    <row r="34" spans="1:7" s="158" customFormat="1" ht="31.5">
      <c r="A34" s="158" t="str">
        <f>CONCATENATE('CORE  2019'!C48," ", 'CORE  2019'!E48)</f>
        <v>DSS SS rails</v>
      </c>
      <c r="B34" s="158" t="str">
        <f>CONCATENATE('CORE  2019'!C121," ", 'CORE  2019'!E121)</f>
        <v>Installation Tools temporary power distribution</v>
      </c>
      <c r="G34" s="158" t="str">
        <f>CONCATENATE('CORE  2019'!C40," ", 'CORE  2019'!E40)</f>
        <v xml:space="preserve"> </v>
      </c>
    </row>
    <row r="35" spans="1:7" s="158" customFormat="1">
      <c r="A35" s="158" t="str">
        <f>CONCATENATE('CORE  2019'!C49," ", 'CORE  2019'!E49)</f>
        <v>DSS rail supports + feedthroughs</v>
      </c>
      <c r="B35" s="158" t="str">
        <f>CONCATENATE('CORE  2019'!C122," ", 'CORE  2019'!E122)</f>
        <v>Installation Tools various mech.  tools</v>
      </c>
    </row>
    <row r="36" spans="1:7" s="158" customFormat="1" ht="31.5">
      <c r="A36" s="158" t="str">
        <f>CONCATENATE('CORE  2019'!C50," ", 'CORE  2019'!E50)</f>
        <v>DSS SS APA,CPA supports to rails and shuttle system</v>
      </c>
      <c r="B36" s="158" t="str">
        <f>CONCATENATE('CORE  2019'!C123," ", 'CORE  2019'!E123)</f>
        <v>Installation Tools Cleanroom safety tools (PPE,ODH, fire, …)</v>
      </c>
    </row>
    <row r="37" spans="1:7" s="158" customFormat="1" ht="31.5">
      <c r="A37" s="158" t="str">
        <f>CONCATENATE('CORE  2019'!C51," ", 'CORE  2019'!E51)</f>
        <v>DSS Installation equipment</v>
      </c>
      <c r="B37" s="158" t="str">
        <f>CONCATENATE('CORE  2019'!C124," ", 'CORE  2019'!E124)</f>
        <v>Installation Tools consumables, small items / 2 years 2 detectors</v>
      </c>
    </row>
    <row r="38" spans="1:7" s="158" customFormat="1" ht="31.5">
      <c r="A38" s="158" t="str">
        <f>CONCATENATE('CORE  2019'!C52," ", 'CORE  2019'!E52)</f>
        <v>DSS installation test equipment, QA, and shipping stuff</v>
      </c>
      <c r="B38" s="158" t="str">
        <f>CONCATENATE('CORE  2019'!C125," ", 'CORE  2019'!E125)</f>
        <v>Installation Tools clean room initial cleaning</v>
      </c>
    </row>
    <row r="39" spans="1:7" s="158" customFormat="1">
      <c r="A39" s="158" t="str">
        <f>CONCATENATE('CORE  2019'!C56," ", 'CORE  2019'!E56)</f>
        <v>Cranes bridge crane</v>
      </c>
      <c r="B39" s="158" t="str">
        <f>CONCATENATE('CORE  2019'!C126," ", 'CORE  2019'!E126)</f>
        <v>Installation Tools spare parts</v>
      </c>
    </row>
    <row r="40" spans="1:7" s="158" customFormat="1" ht="31.5">
      <c r="A40" s="158" t="str">
        <f>CONCATENATE('CORE  2019'!C57," ", 'CORE  2019'!E57)</f>
        <v>Hoists individual hoists</v>
      </c>
      <c r="B40" s="158" t="str">
        <f>CONCATENATE('CORE  2019'!C127," ", 'CORE  2019'!E127)</f>
        <v>Installation Tools electrical diagnostics equipment</v>
      </c>
      <c r="G40" s="158" t="str">
        <f>CONCATENATE('CORE  2019'!C46," ", 'CORE  2019'!E46)</f>
        <v xml:space="preserve"> </v>
      </c>
    </row>
    <row r="41" spans="1:7" s="158" customFormat="1" ht="31.5">
      <c r="A41" s="158" t="str">
        <f>CONCATENATE('CORE  2019'!C58," ", 'CORE  2019'!E58)</f>
        <v>Cranes Power line (150m)</v>
      </c>
      <c r="B41" s="158" t="str">
        <f>CONCATENATE('CORE  2019'!C128," ", 'CORE  2019'!E128)</f>
        <v>Installation Tools installation storage equipment</v>
      </c>
    </row>
    <row r="42" spans="1:7" s="158" customFormat="1" ht="31.5">
      <c r="A42" s="158" t="str">
        <f>CONCATENATE('CORE  2019'!C59," ", 'CORE  2019'!E59)</f>
        <v xml:space="preserve">Cranes Installation of cranes, hoist, power lines and 1rst inspection </v>
      </c>
      <c r="B42" s="158" t="str">
        <f>CONCATENATE('CORE  2019'!C129," ", 'CORE  2019'!E129)</f>
        <v>Installation Tools floor inside cryostat + supports</v>
      </c>
    </row>
    <row r="43" spans="1:7" s="158" customFormat="1" ht="31.5">
      <c r="A43" s="158" t="str">
        <f>CONCATENATE('CORE  2019'!C60," ", 'CORE  2019'!E60)</f>
        <v>Cranes small material (slings, …)</v>
      </c>
      <c r="B43" s="158" t="str">
        <f>CONCATENATE('CORE  2019'!C130," ", 'CORE  2019'!E130)</f>
        <v>Installation Tools scissor lifts rental (6 per 48 months)</v>
      </c>
    </row>
    <row r="44" spans="1:7" s="158" customFormat="1" ht="31.5">
      <c r="A44" s="158" t="str">
        <f>CONCATENATE('CORE  2019'!C64," ", 'CORE  2019'!E64)</f>
        <v>Infrastructure detector mezzanine</v>
      </c>
      <c r="B44" s="158" t="str">
        <f>CONCATENATE('CORE  2019'!C131," ", 'CORE  2019'!E131)</f>
        <v>Installation Tools scaffolding rental/ (6 per 4 years)</v>
      </c>
    </row>
    <row r="45" spans="1:7" s="158" customFormat="1">
      <c r="A45" s="158" t="str">
        <f>CONCATENATE('CORE  2019'!C65," ", 'CORE  2019'!E65)</f>
        <v>Infrastructure main bridge</v>
      </c>
      <c r="B45" s="158" t="str">
        <f>CONCATENATE('CORE  2019'!C132," ", 'CORE  2019'!E132)</f>
        <v>Installation Tools machine shop</v>
      </c>
    </row>
    <row r="46" spans="1:7" s="158" customFormat="1" ht="47.25">
      <c r="A46" s="158" t="str">
        <f>CONCATENATE('CORE  2019'!C66," ", 'CORE  2019'!E66)</f>
        <v>Infrastructure hand rails</v>
      </c>
      <c r="B46" s="158" t="str">
        <f>CONCATENATE('CORE  2019'!C136," ", 'CORE  2019'!E136)</f>
        <v>Installation Tools Material Handling in cavern and transport from cavern to SAS</v>
      </c>
    </row>
    <row r="47" spans="1:7" s="158" customFormat="1" ht="31.5">
      <c r="A47" s="158" t="str">
        <f>CONCATENATE('CORE  2019'!C67," ", 'CORE  2019'!E67)</f>
        <v>Infrastructure connection cryostat-bridge</v>
      </c>
      <c r="B47" s="158" t="str">
        <f>CONCATENATE('CORE  2019'!C137," ", 'CORE  2019'!E137)</f>
        <v>Installation Tools lifts for photon integration</v>
      </c>
    </row>
    <row r="48" spans="1:7" s="158" customFormat="1" ht="31.5">
      <c r="A48" s="158" t="str">
        <f>CONCATENATE('CORE  2019'!C68," ", 'CORE  2019'!E68)</f>
        <v>Infrastructure stair to 4910</v>
      </c>
      <c r="B48" s="158" t="str">
        <f>CONCATENATE('CORE  2019'!C138," ", 'CORE  2019'!E138)</f>
        <v>Installation Tools electronics racks for testing</v>
      </c>
      <c r="G48" s="158" t="str">
        <f>CONCATENATE('CORE  2019'!C54," ", 'CORE  2019'!E54)</f>
        <v xml:space="preserve"> </v>
      </c>
    </row>
    <row r="49" spans="1:7" s="158" customFormat="1" ht="31.5">
      <c r="A49" s="158" t="str">
        <f>CONCATENATE('CORE  2019'!C69," ", 'CORE  2019'!E69)</f>
        <v>Infrastructure stairs to mezzanines</v>
      </c>
      <c r="B49" s="158" t="str">
        <f>CONCATENATE('CORE  2019'!C139," ", 'CORE  2019'!E139)</f>
        <v>Installation Tools Benches for eating area outside cleanroom</v>
      </c>
    </row>
    <row r="50" spans="1:7" s="158" customFormat="1" ht="31.5">
      <c r="A50" s="158" t="str">
        <f>CONCATENATE('CORE  2019'!C70," ", 'CORE  2019'!E70)</f>
        <v>Infrastructure Unforeseen facility modifications</v>
      </c>
      <c r="B50" s="158" t="str">
        <f>CONCATENATE('CORE  2019'!C140," ", 'CORE  2019'!E140)</f>
        <v>Installation Tools Areal Lift</v>
      </c>
    </row>
    <row r="51" spans="1:7" s="158" customFormat="1" ht="31.5">
      <c r="A51" s="158" t="str">
        <f>CONCATENATE('CORE  2019'!C74," ", 'CORE  2019'!E74)</f>
        <v>Infrastructure Condensation prevention system</v>
      </c>
      <c r="B51" s="158" t="str">
        <f>CONCATENATE('CORE  2019'!C141," ", 'CORE  2019'!E141)</f>
        <v>Installation Tools Lifts general  service contract</v>
      </c>
    </row>
    <row r="52" spans="1:7" s="158" customFormat="1">
      <c r="A52" s="158" t="str">
        <f>CONCATENATE('CORE  2019'!C75," ", 'CORE  2019'!E75)</f>
        <v>Infrastructure Grouting below cryostat</v>
      </c>
    </row>
    <row r="53" spans="1:7" s="158" customFormat="1">
      <c r="A53" s="158" t="str">
        <f>CONCATENATE('CORE  2019'!C79," ", 'CORE  2019'!E79)</f>
        <v>Control Rooms screens in cntrl</v>
      </c>
    </row>
    <row r="54" spans="1:7" s="158" customFormat="1">
      <c r="A54" s="158" t="str">
        <f>CONCATENATE('CORE  2019'!C80," ", 'CORE  2019'!E80)</f>
        <v>Control Rooms computers in cntrl</v>
      </c>
    </row>
    <row r="55" spans="1:7" s="158" customFormat="1">
      <c r="A55" s="158" t="str">
        <f>CONCATENATE('CORE  2019'!C81," ", 'CORE  2019'!E81)</f>
        <v>Control Rooms power distribution in cntrl</v>
      </c>
    </row>
    <row r="56" spans="1:7" s="158" customFormat="1" ht="31.5">
      <c r="A56" s="158" t="str">
        <f>CONCATENATE('CORE  2019'!C82," ", 'CORE  2019'!E82)</f>
        <v>Control Rooms Net distribution in cavern/wifi</v>
      </c>
      <c r="G56" s="158" t="str">
        <f>CONCATENATE('CORE  2019'!C62," ", 'CORE  2019'!E62)</f>
        <v xml:space="preserve"> </v>
      </c>
    </row>
    <row r="57" spans="1:7" s="158" customFormat="1">
      <c r="A57" s="158" t="str">
        <f>CONCATENATE('CORE  2019'!C83," ", 'CORE  2019'!E83)</f>
        <v>Control Rooms tables and chairs</v>
      </c>
    </row>
    <row r="58" spans="1:7" s="158" customFormat="1">
      <c r="A58" s="158" t="str">
        <f>CONCATENATE('CORE  2019'!C84," ", 'CORE  2019'!E84)</f>
        <v>Control Rooms fire life safety/ barack</v>
      </c>
    </row>
    <row r="59" spans="1:7" s="158" customFormat="1" ht="31.5">
      <c r="A59" s="158" t="str">
        <f>CONCATENATE('CORE  2019'!C85," ", 'CORE  2019'!E85)</f>
        <v>Control Rooms det 1 cryo room (cpu, screens, table)</v>
      </c>
    </row>
    <row r="60" spans="1:7" s="158" customFormat="1" ht="31.5">
      <c r="A60" s="158" t="str">
        <f>CONCATENATE('CORE  2019'!C86," ", 'CORE  2019'!E86)</f>
        <v>Control Rooms det 2 cryo room (cpu, screens, table)</v>
      </c>
    </row>
    <row r="61" spans="1:7" s="158" customFormat="1" ht="31.5">
      <c r="A61" s="158" t="str">
        <f>CONCATENATE('CORE  2019'!C87," ", 'CORE  2019'!E87)</f>
        <v>Control Rooms baracks cryo 1+ light + power + desks</v>
      </c>
    </row>
    <row r="62" spans="1:7" s="158" customFormat="1" ht="31.5">
      <c r="A62" s="158" t="str">
        <f>CONCATENATE('CORE  2019'!C88," ", 'CORE  2019'!E88)</f>
        <v>Control Rooms baracks cryo 2+ light + power + desks</v>
      </c>
    </row>
    <row r="63" spans="1:7" s="158" customFormat="1"/>
    <row r="64" spans="1:7" s="158" customFormat="1"/>
    <row r="65" spans="7:7" s="158" customFormat="1"/>
    <row r="66" spans="7:7" s="158" customFormat="1"/>
    <row r="67" spans="7:7" s="158" customFormat="1"/>
    <row r="68" spans="7:7" s="158" customFormat="1"/>
    <row r="69" spans="7:7" s="158" customFormat="1"/>
    <row r="70" spans="7:7" s="158" customFormat="1"/>
    <row r="71" spans="7:7" s="158" customFormat="1">
      <c r="G71" s="158" t="str">
        <f>CONCATENATE('CORE  2019'!C77," ", 'CORE  2019'!E77)</f>
        <v xml:space="preserve"> </v>
      </c>
    </row>
    <row r="72" spans="7:7" s="158" customFormat="1"/>
    <row r="73" spans="7:7" s="158" customFormat="1"/>
    <row r="74" spans="7:7" s="158" customFormat="1"/>
    <row r="75" spans="7:7" s="158" customFormat="1"/>
    <row r="76" spans="7:7" s="158" customFormat="1"/>
    <row r="77" spans="7:7" s="158" customFormat="1"/>
    <row r="78" spans="7:7" s="158" customFormat="1"/>
    <row r="79" spans="7:7" s="158" customFormat="1"/>
    <row r="80" spans="7:7" s="158" customFormat="1"/>
    <row r="81" spans="7:7" s="158" customFormat="1"/>
    <row r="82" spans="7:7" s="158" customFormat="1"/>
    <row r="83" spans="7:7" s="158" customFormat="1">
      <c r="G83" s="158" t="str">
        <f>CONCATENATE('CORE  2019'!C89," ", 'CORE  2019'!E89)</f>
        <v xml:space="preserve"> </v>
      </c>
    </row>
    <row r="84" spans="7:7" s="158" customFormat="1"/>
    <row r="85" spans="7:7" s="158" customFormat="1"/>
    <row r="86" spans="7:7" s="158" customFormat="1"/>
    <row r="87" spans="7:7" s="158" customFormat="1"/>
    <row r="88" spans="7:7" s="158" customFormat="1"/>
    <row r="89" spans="7:7" s="158" customFormat="1"/>
    <row r="90" spans="7:7" s="158" customFormat="1"/>
    <row r="91" spans="7:7" s="158" customFormat="1"/>
    <row r="92" spans="7:7" s="158" customFormat="1"/>
    <row r="93" spans="7:7" s="158" customFormat="1"/>
    <row r="94" spans="7:7" s="158" customFormat="1"/>
    <row r="95" spans="7:7" s="158" customFormat="1"/>
    <row r="96" spans="7:7" s="158" customFormat="1"/>
    <row r="98" spans="7:7">
      <c r="G98" s="153" t="str">
        <f>CONCATENATE('CORE  2019'!C104," ", 'CORE  2019'!E104)</f>
        <v xml:space="preserve"> </v>
      </c>
    </row>
    <row r="136" spans="7:7">
      <c r="G136" s="153" t="str">
        <f>CONCATENATE('CORE  2019'!C142," ", 'CORE  2019'!E142)</f>
        <v xml:space="preserve"> </v>
      </c>
    </row>
    <row r="144" spans="7:7">
      <c r="G144" s="153" t="str">
        <f>CONCATENATE('CORE  2019'!C150," ", 'CORE  2019'!E150)</f>
        <v xml:space="preserve"> </v>
      </c>
    </row>
    <row r="157" spans="7:7">
      <c r="G157" s="153" t="str">
        <f>CONCATENATE('CORE  2019'!C163," ", 'CORE  2019'!E163)</f>
        <v xml:space="preserve"> </v>
      </c>
    </row>
    <row r="172" spans="7:7">
      <c r="G172" s="153" t="str">
        <f>CONCATENATE('CORE  2019'!C178," ", 'CORE  2019'!E178)</f>
        <v xml:space="preserve"> </v>
      </c>
    </row>
    <row r="191" spans="7:7">
      <c r="G191" s="153" t="str">
        <f>CONCATENATE('CORE  2019'!C197," ", 'CORE  2019'!E197)</f>
        <v xml:space="preserve"> </v>
      </c>
    </row>
    <row r="192" spans="7:7">
      <c r="G192" s="153" t="str">
        <f>CONCATENATE('CORE  2019'!C198," ", 'CORE  2019'!E198)</f>
        <v xml:space="preserve"> </v>
      </c>
    </row>
    <row r="193" spans="7:7">
      <c r="G193" s="153" t="str">
        <f>CONCATENATE('CORE  2019'!C199," ", 'CORE  2019'!E199)</f>
        <v xml:space="preserve"> </v>
      </c>
    </row>
    <row r="194" spans="7:7">
      <c r="G194" s="153" t="str">
        <f>CONCATENATE('CORE  2019'!C200," ", 'CORE  2019'!E200)</f>
        <v xml:space="preserve"> </v>
      </c>
    </row>
    <row r="195" spans="7:7">
      <c r="G195" s="153" t="str">
        <f>CONCATENATE('CORE  2019'!C201," ", 'CORE  2019'!E201)</f>
        <v xml:space="preserve"> </v>
      </c>
    </row>
    <row r="196" spans="7:7">
      <c r="G196" s="153" t="str">
        <f>CONCATENATE('CORE  2019'!C202," ", 'CORE  2019'!E202)</f>
        <v xml:space="preserve"> </v>
      </c>
    </row>
    <row r="197" spans="7:7">
      <c r="G197" s="153" t="str">
        <f>CONCATENATE('CORE  2019'!C203," ", 'CORE  2019'!E203)</f>
        <v xml:space="preserve"> </v>
      </c>
    </row>
    <row r="198" spans="7:7">
      <c r="G198" s="153" t="str">
        <f>CONCATENATE('CORE  2019'!C204," ", 'CORE  2019'!E204)</f>
        <v xml:space="preserve"> </v>
      </c>
    </row>
    <row r="199" spans="7:7">
      <c r="G199" s="153" t="str">
        <f>CONCATENATE('CORE  2019'!C205," ", 'CORE  2019'!E205)</f>
        <v xml:space="preserve"> </v>
      </c>
    </row>
    <row r="200" spans="7:7">
      <c r="G200" s="153" t="str">
        <f>CONCATENATE('CORE  2019'!C206," ", 'CORE  2019'!E206)</f>
        <v xml:space="preserve"> </v>
      </c>
    </row>
    <row r="201" spans="7:7">
      <c r="G201" s="153" t="str">
        <f>CONCATENATE('CORE  2019'!C207," ", 'CORE  2019'!E207)</f>
        <v xml:space="preserve"> </v>
      </c>
    </row>
    <row r="202" spans="7:7">
      <c r="G202" s="153" t="str">
        <f>CONCATENATE('CORE  2019'!C208," ", 'CORE  2019'!E208)</f>
        <v xml:space="preserve"> </v>
      </c>
    </row>
    <row r="203" spans="7:7">
      <c r="G203" s="153" t="str">
        <f>CONCATENATE('CORE  2019'!C209," ", 'CORE  2019'!E209)</f>
        <v xml:space="preserve"> </v>
      </c>
    </row>
    <row r="204" spans="7:7">
      <c r="G204" s="153" t="str">
        <f>CONCATENATE('CORE  2019'!C210," ", 'CORE  2019'!E210)</f>
        <v xml:space="preserve"> </v>
      </c>
    </row>
    <row r="205" spans="7:7">
      <c r="G205" s="153" t="str">
        <f>CONCATENATE('CORE  2019'!C211," ", 'CORE  2019'!E211)</f>
        <v xml:space="preserve"> </v>
      </c>
    </row>
    <row r="206" spans="7:7">
      <c r="G206" s="153" t="str">
        <f>CONCATENATE('CORE  2019'!C212," ", 'CORE  2019'!E212)</f>
        <v xml:space="preserve"> </v>
      </c>
    </row>
    <row r="207" spans="7:7">
      <c r="G207" s="153" t="str">
        <f>CONCATENATE('CORE  2019'!C213," ", 'CORE  2019'!E213)</f>
        <v xml:space="preserve"> </v>
      </c>
    </row>
    <row r="208" spans="7:7">
      <c r="G208" s="153" t="str">
        <f>CONCATENATE('CORE  2019'!C214," ", 'CORE  2019'!E214)</f>
        <v xml:space="preserve"> </v>
      </c>
    </row>
    <row r="209" spans="7:7">
      <c r="G209" s="153" t="str">
        <f>CONCATENATE('CORE  2019'!C215," ", 'CORE  2019'!E215)</f>
        <v xml:space="preserve"> </v>
      </c>
    </row>
    <row r="210" spans="7:7">
      <c r="G210" s="153" t="str">
        <f>CONCATENATE('CORE  2019'!C216," ", 'CORE  2019'!E216)</f>
        <v xml:space="preserve"> </v>
      </c>
    </row>
    <row r="211" spans="7:7">
      <c r="G211" s="153" t="str">
        <f>CONCATENATE('CORE  2019'!C217," ", 'CORE  2019'!E217)</f>
        <v xml:space="preserve"> </v>
      </c>
    </row>
    <row r="212" spans="7:7">
      <c r="G212" s="153" t="str">
        <f>CONCATENATE('CORE  2019'!C218," ", 'CORE  2019'!E218)</f>
        <v xml:space="preserve"> </v>
      </c>
    </row>
    <row r="213" spans="7:7">
      <c r="G213" s="153" t="str">
        <f>CONCATENATE('CORE  2019'!C219," ", 'CORE  2019'!E219)</f>
        <v xml:space="preserve"> </v>
      </c>
    </row>
    <row r="214" spans="7:7">
      <c r="G214" s="153" t="str">
        <f>CONCATENATE('CORE  2019'!C220," ", 'CORE  2019'!E220)</f>
        <v xml:space="preserve"> </v>
      </c>
    </row>
    <row r="215" spans="7:7">
      <c r="G215" s="153" t="str">
        <f>CONCATENATE('CORE  2019'!C221," ", 'CORE  2019'!E221)</f>
        <v xml:space="preserve"> </v>
      </c>
    </row>
    <row r="216" spans="7:7">
      <c r="G216" s="153" t="str">
        <f>CONCATENATE('CORE  2019'!C222," ", 'CORE  2019'!E222)</f>
        <v xml:space="preserve"> </v>
      </c>
    </row>
    <row r="217" spans="7:7">
      <c r="G217" s="153" t="str">
        <f>CONCATENATE('CORE  2019'!C223," ", 'CORE  2019'!E223)</f>
        <v xml:space="preserve"> </v>
      </c>
    </row>
    <row r="218" spans="7:7">
      <c r="G218" s="153" t="str">
        <f>CONCATENATE('CORE  2019'!C224," ", 'CORE  2019'!E224)</f>
        <v xml:space="preserve"> </v>
      </c>
    </row>
    <row r="219" spans="7:7">
      <c r="G219" s="153" t="str">
        <f>CONCATENATE('CORE  2019'!C225," ", 'CORE  2019'!E225)</f>
        <v xml:space="preserve"> </v>
      </c>
    </row>
    <row r="220" spans="7:7">
      <c r="G220" s="153" t="str">
        <f>CONCATENATE('CORE  2019'!C226," ", 'CORE  2019'!E226)</f>
        <v xml:space="preserve"> </v>
      </c>
    </row>
    <row r="221" spans="7:7">
      <c r="G221" s="153" t="str">
        <f>CONCATENATE('CORE  2019'!C227," ", 'CORE  2019'!E227)</f>
        <v xml:space="preserve"> </v>
      </c>
    </row>
    <row r="222" spans="7:7">
      <c r="G222" s="153" t="str">
        <f>CONCATENATE('CORE  2019'!C228," ", 'CORE  2019'!E228)</f>
        <v xml:space="preserve"> </v>
      </c>
    </row>
    <row r="223" spans="7:7">
      <c r="G223" s="153" t="str">
        <f>CONCATENATE('CORE  2019'!C229," ", 'CORE  2019'!E229)</f>
        <v xml:space="preserve"> </v>
      </c>
    </row>
    <row r="224" spans="7:7">
      <c r="G224" s="153" t="str">
        <f>CONCATENATE('CORE  2019'!C230," ", 'CORE  2019'!E230)</f>
        <v xml:space="preserve"> </v>
      </c>
    </row>
    <row r="225" spans="7:7">
      <c r="G225" s="153" t="str">
        <f>CONCATENATE('CORE  2019'!C231," ", 'CORE  2019'!E231)</f>
        <v xml:space="preserve"> </v>
      </c>
    </row>
    <row r="226" spans="7:7">
      <c r="G226" s="153" t="str">
        <f>CONCATENATE('CORE  2019'!C232," ", 'CORE  2019'!E232)</f>
        <v xml:space="preserve"> </v>
      </c>
    </row>
    <row r="227" spans="7:7">
      <c r="G227" s="153" t="str">
        <f>CONCATENATE('CORE  2019'!C233," ", 'CORE  2019'!E233)</f>
        <v xml:space="preserve"> </v>
      </c>
    </row>
    <row r="228" spans="7:7">
      <c r="G228" s="153" t="str">
        <f>CONCATENATE('CORE  2019'!C234," ", 'CORE  2019'!E234)</f>
        <v xml:space="preserve"> </v>
      </c>
    </row>
    <row r="229" spans="7:7">
      <c r="G229" s="153" t="str">
        <f>CONCATENATE('CORE  2019'!C235," ", 'CORE  2019'!E235)</f>
        <v xml:space="preserve"> </v>
      </c>
    </row>
    <row r="230" spans="7:7">
      <c r="G230" s="153" t="str">
        <f>CONCATENATE('CORE  2019'!C236," ", 'CORE  2019'!E236)</f>
        <v xml:space="preserve"> </v>
      </c>
    </row>
    <row r="231" spans="7:7">
      <c r="G231" s="153" t="str">
        <f>CONCATENATE('CORE  2019'!C237," ", 'CORE  2019'!E237)</f>
        <v xml:space="preserve"> </v>
      </c>
    </row>
    <row r="232" spans="7:7">
      <c r="G232" s="153" t="str">
        <f>CONCATENATE('CORE  2019'!C238," ", 'CORE  2019'!E238)</f>
        <v xml:space="preserve"> </v>
      </c>
    </row>
    <row r="233" spans="7:7">
      <c r="G233" s="153" t="str">
        <f>CONCATENATE('CORE  2019'!C239," ", 'CORE  2019'!E239)</f>
        <v xml:space="preserve"> </v>
      </c>
    </row>
    <row r="234" spans="7:7">
      <c r="G234" s="153" t="str">
        <f>CONCATENATE('CORE  2019'!C240," ", 'CORE  2019'!E240)</f>
        <v xml:space="preserve"> </v>
      </c>
    </row>
    <row r="235" spans="7:7">
      <c r="G235" s="153" t="str">
        <f>CONCATENATE('CORE  2019'!C241," ", 'CORE  2019'!E241)</f>
        <v xml:space="preserve"> </v>
      </c>
    </row>
    <row r="236" spans="7:7">
      <c r="G236" s="153" t="str">
        <f>CONCATENATE('CORE  2019'!C242," ", 'CORE  2019'!E242)</f>
        <v xml:space="preserve"> </v>
      </c>
    </row>
    <row r="237" spans="7:7">
      <c r="G237" s="153" t="str">
        <f>CONCATENATE('CORE  2019'!C243," ", 'CORE  2019'!E243)</f>
        <v xml:space="preserve"> </v>
      </c>
    </row>
    <row r="238" spans="7:7">
      <c r="G238" s="153" t="str">
        <f>CONCATENATE('CORE  2019'!C244," ", 'CORE  2019'!E244)</f>
        <v xml:space="preserve"> </v>
      </c>
    </row>
    <row r="239" spans="7:7">
      <c r="G239" s="153" t="str">
        <f>CONCATENATE('CORE  2019'!C245," ", 'CORE  2019'!E245)</f>
        <v xml:space="preserve"> </v>
      </c>
    </row>
    <row r="240" spans="7:7">
      <c r="G240" s="153" t="str">
        <f>CONCATENATE('CORE  2019'!C246," ", 'CORE  2019'!E246)</f>
        <v xml:space="preserve"> </v>
      </c>
    </row>
    <row r="241" spans="7:7">
      <c r="G241" s="153" t="str">
        <f>CONCATENATE('CORE  2019'!C247," ", 'CORE  2019'!E247)</f>
        <v xml:space="preserve"> </v>
      </c>
    </row>
    <row r="242" spans="7:7">
      <c r="G242" s="153" t="str">
        <f>CONCATENATE('CORE  2019'!C248," ", 'CORE  2019'!E248)</f>
        <v xml:space="preserve"> </v>
      </c>
    </row>
    <row r="243" spans="7:7">
      <c r="G243" s="153" t="str">
        <f>CONCATENATE('CORE  2019'!C249," ", 'CORE  2019'!E249)</f>
        <v xml:space="preserve"> </v>
      </c>
    </row>
    <row r="244" spans="7:7">
      <c r="G244" s="153" t="str">
        <f>CONCATENATE('CORE  2019'!C250," ", 'CORE  2019'!E250)</f>
        <v xml:space="preserve"> </v>
      </c>
    </row>
    <row r="245" spans="7:7">
      <c r="G245" s="153" t="str">
        <f>CONCATENATE('CORE  2019'!C251," ", 'CORE  2019'!E251)</f>
        <v xml:space="preserve"> </v>
      </c>
    </row>
    <row r="252" spans="7:7">
      <c r="G252" s="153" t="str">
        <f>CONCATENATE('CORE  2019'!C258," ", 'CORE  2019'!E258)</f>
        <v xml:space="preserve"> </v>
      </c>
    </row>
    <row r="253" spans="7:7">
      <c r="G253" s="153" t="str">
        <f>CONCATENATE('CORE  2019'!C259," ", 'CORE  2019'!E259)</f>
        <v xml:space="preserve"> </v>
      </c>
    </row>
    <row r="254" spans="7:7">
      <c r="G254" s="153" t="str">
        <f>CONCATENATE('CORE  2019'!C260," ", 'CORE  2019'!E260)</f>
        <v xml:space="preserve"> </v>
      </c>
    </row>
    <row r="255" spans="7:7">
      <c r="G255" s="153" t="str">
        <f>CONCATENATE('CORE  2019'!C261," ", 'CORE  2019'!E261)</f>
        <v xml:space="preserve"> </v>
      </c>
    </row>
    <row r="256" spans="7:7">
      <c r="G256" s="153" t="str">
        <f>CONCATENATE('CORE  2019'!C262," ", 'CORE  2019'!E262)</f>
        <v xml:space="preserve"> </v>
      </c>
    </row>
    <row r="257" spans="7:7">
      <c r="G257" s="153" t="str">
        <f>CONCATENATE('CORE  2019'!C263," ", 'CORE  2019'!E263)</f>
        <v xml:space="preserve"> </v>
      </c>
    </row>
    <row r="258" spans="7:7">
      <c r="G258" s="153" t="str">
        <f>CONCATENATE('CORE  2019'!C264," ", 'CORE  2019'!E264)</f>
        <v xml:space="preserve"> </v>
      </c>
    </row>
    <row r="259" spans="7:7">
      <c r="G259" s="153" t="str">
        <f>CONCATENATE('CORE  2019'!C265," ", 'CORE  2019'!E265)</f>
        <v xml:space="preserve"> </v>
      </c>
    </row>
    <row r="260" spans="7:7">
      <c r="G260" s="153" t="str">
        <f>CONCATENATE('CORE  2019'!C266," ", 'CORE  2019'!E266)</f>
        <v xml:space="preserve"> </v>
      </c>
    </row>
    <row r="261" spans="7:7">
      <c r="G261" s="153" t="str">
        <f>CONCATENATE('CORE  2019'!C267," ", 'CORE  2019'!E267)</f>
        <v xml:space="preserve"> </v>
      </c>
    </row>
    <row r="262" spans="7:7">
      <c r="G262" s="153" t="str">
        <f>CONCATENATE('CORE  2019'!C268," ", 'CORE  2019'!E268)</f>
        <v xml:space="preserve"> </v>
      </c>
    </row>
    <row r="263" spans="7:7">
      <c r="G263" s="153" t="str">
        <f>CONCATENATE('CORE  2019'!C269," ", 'CORE  2019'!E269)</f>
        <v xml:space="preserve"> </v>
      </c>
    </row>
    <row r="264" spans="7:7">
      <c r="G264" s="153" t="str">
        <f>CONCATENATE('CORE  2019'!C270," ", 'CORE  2019'!E270)</f>
        <v xml:space="preserve"> </v>
      </c>
    </row>
    <row r="265" spans="7:7">
      <c r="G265" s="153" t="str">
        <f>CONCATENATE('CORE  2019'!C271," ", 'CORE  2019'!E271)</f>
        <v xml:space="preserve"> </v>
      </c>
    </row>
    <row r="266" spans="7:7">
      <c r="G266" s="153" t="str">
        <f>CONCATENATE('CORE  2019'!C272," ", 'CORE  2019'!E272)</f>
        <v xml:space="preserve"> </v>
      </c>
    </row>
    <row r="267" spans="7:7">
      <c r="G267" s="153" t="str">
        <f>CONCATENATE('CORE  2019'!C273," ", 'CORE  2019'!E273)</f>
        <v xml:space="preserve"> </v>
      </c>
    </row>
    <row r="268" spans="7:7">
      <c r="G268" s="153" t="str">
        <f>CONCATENATE('CORE  2019'!C274," ", 'CORE  2019'!E274)</f>
        <v xml:space="preserve"> </v>
      </c>
    </row>
    <row r="269" spans="7:7">
      <c r="G269" s="153" t="str">
        <f>CONCATENATE('CORE  2019'!C275," ", 'CORE  2019'!E275)</f>
        <v xml:space="preserve"> </v>
      </c>
    </row>
    <row r="270" spans="7:7">
      <c r="G270" s="153" t="str">
        <f>CONCATENATE('CORE  2019'!C276," ", 'CORE  2019'!E276)</f>
        <v xml:space="preserve"> </v>
      </c>
    </row>
    <row r="271" spans="7:7">
      <c r="G271" s="153" t="str">
        <f>CONCATENATE('CORE  2019'!C277," ", 'CORE  2019'!E277)</f>
        <v xml:space="preserve"> </v>
      </c>
    </row>
    <row r="272" spans="7:7">
      <c r="G272" s="153" t="str">
        <f>CONCATENATE('CORE  2019'!C278," ", 'CORE  2019'!E278)</f>
        <v xml:space="preserve"> </v>
      </c>
    </row>
    <row r="273" spans="7:7">
      <c r="G273" s="153" t="str">
        <f>CONCATENATE('CORE  2019'!C279," ", 'CORE  2019'!E279)</f>
        <v xml:space="preserve"> </v>
      </c>
    </row>
    <row r="274" spans="7:7">
      <c r="G274" s="153" t="str">
        <f>CONCATENATE('CORE  2019'!C280," ", 'CORE  2019'!E280)</f>
        <v xml:space="preserve"> </v>
      </c>
    </row>
    <row r="275" spans="7:7">
      <c r="G275" s="153" t="str">
        <f>CONCATENATE('CORE  2019'!C281," ", 'CORE  2019'!E281)</f>
        <v xml:space="preserve"> </v>
      </c>
    </row>
    <row r="276" spans="7:7">
      <c r="G276" s="153" t="str">
        <f>CONCATENATE('CORE  2019'!C282," ", 'CORE  2019'!E282)</f>
        <v xml:space="preserve"> </v>
      </c>
    </row>
    <row r="277" spans="7:7">
      <c r="G277" s="153" t="str">
        <f>CONCATENATE('CORE  2019'!C283," ", 'CORE  2019'!E283)</f>
        <v xml:space="preserve"> </v>
      </c>
    </row>
    <row r="278" spans="7:7">
      <c r="G278" s="153" t="str">
        <f>CONCATENATE('CORE  2019'!C284," ", 'CORE  2019'!E284)</f>
        <v xml:space="preserve"> </v>
      </c>
    </row>
    <row r="279" spans="7:7">
      <c r="G279" s="153" t="str">
        <f>CONCATENATE('CORE  2019'!C285," ", 'CORE  2019'!E285)</f>
        <v xml:space="preserve"> </v>
      </c>
    </row>
    <row r="280" spans="7:7">
      <c r="G280" s="153" t="str">
        <f>CONCATENATE('CORE  2019'!C286," ", 'CORE  2019'!E286)</f>
        <v xml:space="preserve"> </v>
      </c>
    </row>
    <row r="281" spans="7:7">
      <c r="G281" s="153" t="str">
        <f>CONCATENATE('CORE  2019'!C287," ", 'CORE  2019'!E287)</f>
        <v xml:space="preserve"> </v>
      </c>
    </row>
    <row r="282" spans="7:7">
      <c r="G282" s="153" t="str">
        <f>CONCATENATE('CORE  2019'!C288," ", 'CORE  2019'!E288)</f>
        <v xml:space="preserve"> </v>
      </c>
    </row>
    <row r="283" spans="7:7">
      <c r="G283" s="153" t="str">
        <f>CONCATENATE('CORE  2019'!C289," ", 'CORE  2019'!E289)</f>
        <v xml:space="preserve"> </v>
      </c>
    </row>
    <row r="284" spans="7:7">
      <c r="G284" s="153" t="str">
        <f>CONCATENATE('CORE  2019'!C290," ", 'CORE  2019'!E290)</f>
        <v xml:space="preserve"> </v>
      </c>
    </row>
    <row r="285" spans="7:7">
      <c r="G285" s="153" t="str">
        <f>CONCATENATE('CORE  2019'!C291," ", 'CORE  2019'!E291)</f>
        <v xml:space="preserve"> </v>
      </c>
    </row>
    <row r="286" spans="7:7">
      <c r="G286" s="153" t="str">
        <f>CONCATENATE('CORE  2019'!C292," ", 'CORE  2019'!E292)</f>
        <v xml:space="preserve"> </v>
      </c>
    </row>
    <row r="287" spans="7:7">
      <c r="G287" s="153" t="str">
        <f>CONCATENATE('CORE  2019'!C293," ", 'CORE  2019'!E293)</f>
        <v xml:space="preserve"> </v>
      </c>
    </row>
    <row r="288" spans="7:7">
      <c r="G288" s="153" t="str">
        <f>CONCATENATE('CORE  2019'!C294," ", 'CORE  2019'!E294)</f>
        <v xml:space="preserve"> </v>
      </c>
    </row>
    <row r="289" spans="7:7">
      <c r="G289" s="153" t="str">
        <f>CONCATENATE('CORE  2019'!C295," ", 'CORE  2019'!E295)</f>
        <v xml:space="preserve"> </v>
      </c>
    </row>
    <row r="290" spans="7:7">
      <c r="G290" s="153" t="str">
        <f>CONCATENATE('CORE  2019'!C296," ", 'CORE  2019'!E296)</f>
        <v xml:space="preserve"> </v>
      </c>
    </row>
    <row r="291" spans="7:7">
      <c r="G291" s="153" t="str">
        <f>CONCATENATE('CORE  2019'!C297," ", 'CORE  2019'!E297)</f>
        <v xml:space="preserve"> </v>
      </c>
    </row>
    <row r="292" spans="7:7">
      <c r="G292" s="153" t="str">
        <f>CONCATENATE('CORE  2019'!C298," ", 'CORE  2019'!E298)</f>
        <v xml:space="preserve"> </v>
      </c>
    </row>
    <row r="293" spans="7:7">
      <c r="G293" s="153" t="str">
        <f>CONCATENATE('CORE  2019'!C299," ", 'CORE  2019'!E299)</f>
        <v xml:space="preserve"> </v>
      </c>
    </row>
    <row r="294" spans="7:7">
      <c r="G294" s="153" t="str">
        <f>CONCATENATE('CORE  2019'!C300," ", 'CORE  2019'!E300)</f>
        <v xml:space="preserve"> </v>
      </c>
    </row>
    <row r="295" spans="7:7">
      <c r="G295" s="153" t="str">
        <f>CONCATENATE('CORE  2019'!C301," ", 'CORE  2019'!E301)</f>
        <v xml:space="preserve"> </v>
      </c>
    </row>
    <row r="296" spans="7:7">
      <c r="G296" s="153" t="str">
        <f>CONCATENATE('CORE  2019'!C302," ", 'CORE  2019'!E302)</f>
        <v xml:space="preserve"> </v>
      </c>
    </row>
    <row r="297" spans="7:7">
      <c r="G297" s="153" t="str">
        <f>CONCATENATE('CORE  2019'!C303," ", 'CORE  2019'!E303)</f>
        <v xml:space="preserve"> </v>
      </c>
    </row>
    <row r="298" spans="7:7">
      <c r="G298" s="153" t="str">
        <f>CONCATENATE('CORE  2019'!C304," ", 'CORE  2019'!E304)</f>
        <v xml:space="preserve"> </v>
      </c>
    </row>
    <row r="299" spans="7:7">
      <c r="G299" s="153" t="str">
        <f>CONCATENATE('CORE  2019'!C305," ", 'CORE  2019'!E305)</f>
        <v xml:space="preserve"> </v>
      </c>
    </row>
    <row r="300" spans="7:7">
      <c r="G300" s="153" t="str">
        <f>CONCATENATE('CORE  2019'!C306," ", 'CORE  2019'!E306)</f>
        <v xml:space="preserve"> </v>
      </c>
    </row>
    <row r="301" spans="7:7">
      <c r="G301" s="153" t="str">
        <f>CONCATENATE('CORE  2019'!C307," ", 'CORE  2019'!E307)</f>
        <v xml:space="preserve"> </v>
      </c>
    </row>
    <row r="302" spans="7:7">
      <c r="G302" s="153" t="str">
        <f>CONCATENATE('CORE  2019'!C308," ", 'CORE  2019'!E308)</f>
        <v xml:space="preserve"> </v>
      </c>
    </row>
    <row r="303" spans="7:7">
      <c r="G303" s="153" t="str">
        <f>CONCATENATE('CORE  2019'!C309," ", 'CORE  2019'!E309)</f>
        <v xml:space="preserve"> </v>
      </c>
    </row>
    <row r="304" spans="7:7">
      <c r="G304" s="153" t="str">
        <f>CONCATENATE('CORE  2019'!C310," ", 'CORE  2019'!E310)</f>
        <v xml:space="preserve"> </v>
      </c>
    </row>
    <row r="305" spans="7:7">
      <c r="G305" s="153" t="str">
        <f>CONCATENATE('CORE  2019'!C311," ", 'CORE  2019'!E311)</f>
        <v xml:space="preserve"> </v>
      </c>
    </row>
    <row r="306" spans="7:7">
      <c r="G306" s="153" t="str">
        <f>CONCATENATE('CORE  2019'!C312," ", 'CORE  2019'!E312)</f>
        <v xml:space="preserve"> </v>
      </c>
    </row>
    <row r="307" spans="7:7">
      <c r="G307" s="153" t="str">
        <f>CONCATENATE('CORE  2019'!C313," ", 'CORE  2019'!E313)</f>
        <v xml:space="preserve"> </v>
      </c>
    </row>
    <row r="308" spans="7:7">
      <c r="G308" s="153" t="str">
        <f>CONCATENATE('CORE  2019'!C314," ", 'CORE  2019'!E314)</f>
        <v xml:space="preserve"> </v>
      </c>
    </row>
    <row r="309" spans="7:7">
      <c r="G309" s="153" t="str">
        <f>CONCATENATE('CORE  2019'!C315," ", 'CORE  2019'!E315)</f>
        <v xml:space="preserve"> </v>
      </c>
    </row>
    <row r="310" spans="7:7">
      <c r="G310" s="153" t="str">
        <f>CONCATENATE('CORE  2019'!C316," ", 'CORE  2019'!E316)</f>
        <v xml:space="preserve"> </v>
      </c>
    </row>
    <row r="311" spans="7:7">
      <c r="G311" s="153" t="str">
        <f>CONCATENATE('CORE  2019'!C317," ", 'CORE  2019'!E317)</f>
        <v xml:space="preserve"> </v>
      </c>
    </row>
    <row r="312" spans="7:7">
      <c r="G312" s="153" t="str">
        <f>CONCATENATE('CORE  2019'!C318," ", 'CORE  2019'!E318)</f>
        <v xml:space="preserve"> </v>
      </c>
    </row>
    <row r="313" spans="7:7">
      <c r="G313" s="153" t="str">
        <f>CONCATENATE('CORE  2019'!C319," ", 'CORE  2019'!E319)</f>
        <v xml:space="preserve"> </v>
      </c>
    </row>
    <row r="314" spans="7:7">
      <c r="G314" s="153" t="str">
        <f>CONCATENATE('CORE  2019'!C320," ", 'CORE  2019'!E320)</f>
        <v xml:space="preserve"> </v>
      </c>
    </row>
    <row r="315" spans="7:7">
      <c r="G315" s="153" t="str">
        <f>CONCATENATE('CORE  2019'!C321," ", 'CORE  2019'!E321)</f>
        <v xml:space="preserve"> </v>
      </c>
    </row>
    <row r="316" spans="7:7">
      <c r="G316" s="153" t="str">
        <f>CONCATENATE('CORE  2019'!C322," ", 'CORE  2019'!E322)</f>
        <v xml:space="preserve"> </v>
      </c>
    </row>
    <row r="317" spans="7:7">
      <c r="G317" s="153" t="str">
        <f>CONCATENATE('CORE  2019'!C323," ", 'CORE  2019'!E323)</f>
        <v xml:space="preserve"> </v>
      </c>
    </row>
    <row r="318" spans="7:7">
      <c r="G318" s="153" t="str">
        <f>CONCATENATE('CORE  2019'!C324," ", 'CORE  2019'!E324)</f>
        <v xml:space="preserve"> </v>
      </c>
    </row>
    <row r="319" spans="7:7">
      <c r="G319" s="153" t="str">
        <f>CONCATENATE('CORE  2019'!C325," ", 'CORE  2019'!E325)</f>
        <v xml:space="preserve"> </v>
      </c>
    </row>
    <row r="320" spans="7:7">
      <c r="G320" s="153" t="str">
        <f>CONCATENATE('CORE  2019'!C326," ", 'CORE  2019'!E326)</f>
        <v xml:space="preserve"> </v>
      </c>
    </row>
    <row r="321" spans="7:7">
      <c r="G321" s="153" t="str">
        <f>CONCATENATE('CORE  2019'!C327," ", 'CORE  2019'!E327)</f>
        <v xml:space="preserve"> </v>
      </c>
    </row>
    <row r="322" spans="7:7">
      <c r="G322" s="153" t="str">
        <f>CONCATENATE('CORE  2019'!C328," ", 'CORE  2019'!E328)</f>
        <v xml:space="preserve"> </v>
      </c>
    </row>
    <row r="323" spans="7:7">
      <c r="G323" s="153" t="str">
        <f>CONCATENATE('CORE  2019'!C329," ", 'CORE  2019'!E329)</f>
        <v xml:space="preserve"> </v>
      </c>
    </row>
    <row r="324" spans="7:7">
      <c r="G324" s="153" t="str">
        <f>CONCATENATE('CORE  2019'!C330," ", 'CORE  2019'!E330)</f>
        <v xml:space="preserve"> </v>
      </c>
    </row>
    <row r="325" spans="7:7">
      <c r="G325" s="153" t="str">
        <f>CONCATENATE('CORE  2019'!C331," ", 'CORE  2019'!E331)</f>
        <v xml:space="preserve"> </v>
      </c>
    </row>
    <row r="326" spans="7:7">
      <c r="G326" s="153" t="str">
        <f>CONCATENATE('CORE  2019'!C332," ", 'CORE  2019'!E332)</f>
        <v xml:space="preserve"> </v>
      </c>
    </row>
    <row r="327" spans="7:7">
      <c r="G327" s="153" t="str">
        <f>CONCATENATE('CORE  2019'!C333," ", 'CORE  2019'!E333)</f>
        <v xml:space="preserve"> </v>
      </c>
    </row>
    <row r="328" spans="7:7">
      <c r="G328" s="153" t="str">
        <f>CONCATENATE('CORE  2019'!C334," ", 'CORE  2019'!E334)</f>
        <v xml:space="preserve"> </v>
      </c>
    </row>
    <row r="329" spans="7:7">
      <c r="G329" s="153" t="str">
        <f>CONCATENATE('CORE  2019'!C335," ", 'CORE  2019'!E335)</f>
        <v xml:space="preserve"> </v>
      </c>
    </row>
    <row r="330" spans="7:7">
      <c r="G330" s="153" t="str">
        <f>CONCATENATE('CORE  2019'!C336," ", 'CORE  2019'!E336)</f>
        <v xml:space="preserve"> </v>
      </c>
    </row>
    <row r="331" spans="7:7">
      <c r="G331" s="153" t="str">
        <f>CONCATENATE('CORE  2019'!C337," ", 'CORE  2019'!E337)</f>
        <v xml:space="preserve"> </v>
      </c>
    </row>
    <row r="332" spans="7:7">
      <c r="G332" s="153" t="str">
        <f>CONCATENATE('CORE  2019'!C338," ", 'CORE  2019'!E338)</f>
        <v xml:space="preserve"> </v>
      </c>
    </row>
    <row r="333" spans="7:7">
      <c r="G333" s="153" t="str">
        <f>CONCATENATE('CORE  2019'!C339," ", 'CORE  2019'!E339)</f>
        <v xml:space="preserve"> </v>
      </c>
    </row>
    <row r="334" spans="7:7">
      <c r="G334" s="153" t="str">
        <f>CONCATENATE('CORE  2019'!C340," ", 'CORE  2019'!E340)</f>
        <v xml:space="preserve"> </v>
      </c>
    </row>
    <row r="335" spans="7:7">
      <c r="G335" s="153" t="str">
        <f>CONCATENATE('CORE  2019'!C341," ", 'CORE  2019'!E341)</f>
        <v xml:space="preserve"> </v>
      </c>
    </row>
    <row r="336" spans="7:7">
      <c r="G336" s="153" t="str">
        <f>CONCATENATE('CORE  2019'!C342," ", 'CORE  2019'!E342)</f>
        <v xml:space="preserve"> </v>
      </c>
    </row>
    <row r="337" spans="7:7">
      <c r="G337" s="153" t="str">
        <f>CONCATENATE('CORE  2019'!C343," ", 'CORE  2019'!E343)</f>
        <v xml:space="preserve"> </v>
      </c>
    </row>
    <row r="338" spans="7:7">
      <c r="G338" s="153" t="str">
        <f>CONCATENATE('CORE  2019'!C344," ", 'CORE  2019'!E344)</f>
        <v xml:space="preserve"> </v>
      </c>
    </row>
    <row r="339" spans="7:7">
      <c r="G339" s="153" t="str">
        <f>CONCATENATE('CORE  2019'!C345," ", 'CORE  2019'!E345)</f>
        <v xml:space="preserve"> </v>
      </c>
    </row>
    <row r="340" spans="7:7">
      <c r="G340" s="153" t="str">
        <f>CONCATENATE('CORE  2019'!C346," ", 'CORE  2019'!E346)</f>
        <v xml:space="preserve"> </v>
      </c>
    </row>
    <row r="341" spans="7:7">
      <c r="G341" s="153" t="str">
        <f>CONCATENATE('CORE  2019'!C347," ", 'CORE  2019'!E347)</f>
        <v xml:space="preserve"> </v>
      </c>
    </row>
    <row r="342" spans="7:7">
      <c r="G342" s="153" t="str">
        <f>CONCATENATE('CORE  2019'!C348," ", 'CORE  2019'!E348)</f>
        <v xml:space="preserve"> </v>
      </c>
    </row>
    <row r="343" spans="7:7">
      <c r="G343" s="153" t="str">
        <f>CONCATENATE('CORE  2019'!C349," ", 'CORE  2019'!E349)</f>
        <v xml:space="preserve"> </v>
      </c>
    </row>
    <row r="344" spans="7:7">
      <c r="G344" s="153" t="str">
        <f>CONCATENATE('CORE  2019'!C350," ", 'CORE  2019'!E350)</f>
        <v xml:space="preserve"> </v>
      </c>
    </row>
    <row r="345" spans="7:7">
      <c r="G345" s="153" t="str">
        <f>CONCATENATE('CORE  2019'!C351," ", 'CORE  2019'!E351)</f>
        <v xml:space="preserve"> </v>
      </c>
    </row>
    <row r="346" spans="7:7">
      <c r="G346" s="153" t="str">
        <f>CONCATENATE('CORE  2019'!C352," ", 'CORE  2019'!E352)</f>
        <v xml:space="preserve"> </v>
      </c>
    </row>
    <row r="347" spans="7:7">
      <c r="G347" s="153" t="str">
        <f>CONCATENATE('CORE  2019'!C353," ", 'CORE  2019'!E353)</f>
        <v xml:space="preserve"> </v>
      </c>
    </row>
    <row r="348" spans="7:7">
      <c r="G348" s="153" t="str">
        <f>CONCATENATE('CORE  2019'!C354," ", 'CORE  2019'!E354)</f>
        <v xml:space="preserve"> </v>
      </c>
    </row>
    <row r="349" spans="7:7">
      <c r="G349" s="153" t="str">
        <f>CONCATENATE('CORE  2019'!C355," ", 'CORE  2019'!E355)</f>
        <v xml:space="preserve"> </v>
      </c>
    </row>
    <row r="350" spans="7:7">
      <c r="G350" s="153" t="str">
        <f>CONCATENATE('CORE  2019'!C356," ", 'CORE  2019'!E356)</f>
        <v xml:space="preserve"> </v>
      </c>
    </row>
    <row r="351" spans="7:7">
      <c r="G351" s="153" t="str">
        <f>CONCATENATE('CORE  2019'!C357," ", 'CORE  2019'!E357)</f>
        <v xml:space="preserve"> </v>
      </c>
    </row>
    <row r="352" spans="7:7">
      <c r="G352" s="153" t="str">
        <f>CONCATENATE('CORE  2019'!C358," ", 'CORE  2019'!E358)</f>
        <v xml:space="preserve"> </v>
      </c>
    </row>
    <row r="353" spans="7:7">
      <c r="G353" s="153" t="str">
        <f>CONCATENATE('CORE  2019'!C359," ", 'CORE  2019'!E359)</f>
        <v xml:space="preserve"> </v>
      </c>
    </row>
    <row r="354" spans="7:7">
      <c r="G354" s="153" t="str">
        <f>CONCATENATE('CORE  2019'!C360," ", 'CORE  2019'!E360)</f>
        <v xml:space="preserve"> </v>
      </c>
    </row>
    <row r="355" spans="7:7">
      <c r="G355" s="153" t="str">
        <f>CONCATENATE('CORE  2019'!C361," ", 'CORE  2019'!E361)</f>
        <v xml:space="preserve"> </v>
      </c>
    </row>
    <row r="356" spans="7:7">
      <c r="G356" s="153" t="str">
        <f>CONCATENATE('CORE  2019'!C362," ", 'CORE  2019'!E362)</f>
        <v xml:space="preserve"> </v>
      </c>
    </row>
    <row r="357" spans="7:7">
      <c r="G357" s="153" t="str">
        <f>CONCATENATE('CORE  2019'!C363," ", 'CORE  2019'!E363)</f>
        <v xml:space="preserve"> </v>
      </c>
    </row>
    <row r="358" spans="7:7">
      <c r="G358" s="153" t="str">
        <f>CONCATENATE('CORE  2019'!C364," ", 'CORE  2019'!E364)</f>
        <v xml:space="preserve"> </v>
      </c>
    </row>
    <row r="359" spans="7:7">
      <c r="G359" s="153" t="str">
        <f>CONCATENATE('CORE  2019'!C365," ", 'CORE  2019'!E365)</f>
        <v xml:space="preserve"> </v>
      </c>
    </row>
    <row r="360" spans="7:7">
      <c r="G360" s="153" t="str">
        <f>CONCATENATE('CORE  2019'!C366," ", 'CORE  2019'!E366)</f>
        <v xml:space="preserve"> </v>
      </c>
    </row>
    <row r="361" spans="7:7">
      <c r="G361" s="153" t="str">
        <f>CONCATENATE('CORE  2019'!C367," ", 'CORE  2019'!E367)</f>
        <v xml:space="preserve"> </v>
      </c>
    </row>
    <row r="362" spans="7:7">
      <c r="G362" s="153" t="str">
        <f>CONCATENATE('CORE  2019'!C368," ", 'CORE  2019'!E368)</f>
        <v xml:space="preserve"> </v>
      </c>
    </row>
    <row r="363" spans="7:7">
      <c r="G363" s="153" t="str">
        <f>CONCATENATE('CORE  2019'!C369," ", 'CORE  2019'!E369)</f>
        <v xml:space="preserve"> </v>
      </c>
    </row>
    <row r="364" spans="7:7">
      <c r="G364" s="153" t="str">
        <f>CONCATENATE('CORE  2019'!C370," ", 'CORE  2019'!E370)</f>
        <v xml:space="preserve"> </v>
      </c>
    </row>
    <row r="365" spans="7:7">
      <c r="G365" s="153" t="str">
        <f>CONCATENATE('CORE  2019'!C371," ", 'CORE  2019'!E371)</f>
        <v xml:space="preserve"> </v>
      </c>
    </row>
    <row r="366" spans="7:7">
      <c r="G366" s="153" t="str">
        <f>CONCATENATE('CORE  2019'!C372," ", 'CORE  2019'!E372)</f>
        <v xml:space="preserve"> </v>
      </c>
    </row>
    <row r="367" spans="7:7">
      <c r="G367" s="153" t="str">
        <f>CONCATENATE('CORE  2019'!C373," ", 'CORE  2019'!E373)</f>
        <v xml:space="preserve"> </v>
      </c>
    </row>
    <row r="368" spans="7:7">
      <c r="G368" s="153" t="str">
        <f>CONCATENATE('CORE  2019'!C374," ", 'CORE  2019'!E374)</f>
        <v xml:space="preserve"> </v>
      </c>
    </row>
    <row r="369" spans="7:7">
      <c r="G369" s="153" t="str">
        <f>CONCATENATE('CORE  2019'!C375," ", 'CORE  2019'!E375)</f>
        <v xml:space="preserve"> </v>
      </c>
    </row>
    <row r="370" spans="7:7">
      <c r="G370" s="153" t="str">
        <f>CONCATENATE('CORE  2019'!C376," ", 'CORE  2019'!E376)</f>
        <v xml:space="preserve"> </v>
      </c>
    </row>
    <row r="371" spans="7:7">
      <c r="G371" s="153" t="str">
        <f>CONCATENATE('CORE  2019'!C377," ", 'CORE  2019'!E377)</f>
        <v xml:space="preserve"> </v>
      </c>
    </row>
    <row r="372" spans="7:7">
      <c r="G372" s="153" t="str">
        <f>CONCATENATE('CORE  2019'!C378," ", 'CORE  2019'!E378)</f>
        <v xml:space="preserve"> </v>
      </c>
    </row>
    <row r="373" spans="7:7">
      <c r="G373" s="153" t="str">
        <f>CONCATENATE('CORE  2019'!C379," ", 'CORE  2019'!E379)</f>
        <v xml:space="preserve"> </v>
      </c>
    </row>
    <row r="374" spans="7:7">
      <c r="G374" s="153" t="str">
        <f>CONCATENATE('CORE  2019'!C380," ", 'CORE  2019'!E380)</f>
        <v xml:space="preserve"> </v>
      </c>
    </row>
    <row r="375" spans="7:7">
      <c r="G375" s="153" t="str">
        <f>CONCATENATE('CORE  2019'!C381," ", 'CORE  2019'!E381)</f>
        <v xml:space="preserve"> </v>
      </c>
    </row>
    <row r="376" spans="7:7">
      <c r="G376" s="153" t="str">
        <f>CONCATENATE('CORE  2019'!C382," ", 'CORE  2019'!E382)</f>
        <v xml:space="preserve"> </v>
      </c>
    </row>
    <row r="377" spans="7:7">
      <c r="G377" s="153" t="str">
        <f>CONCATENATE('CORE  2019'!C383," ", 'CORE  2019'!E383)</f>
        <v xml:space="preserve"> </v>
      </c>
    </row>
    <row r="378" spans="7:7">
      <c r="G378" s="153" t="str">
        <f>CONCATENATE('CORE  2019'!C384," ", 'CORE  2019'!E384)</f>
        <v xml:space="preserve"> </v>
      </c>
    </row>
    <row r="379" spans="7:7">
      <c r="G379" s="153" t="str">
        <f>CONCATENATE('CORE  2019'!C385," ", 'CORE  2019'!E385)</f>
        <v xml:space="preserve"> </v>
      </c>
    </row>
    <row r="380" spans="7:7">
      <c r="G380" s="153" t="str">
        <f>CONCATENATE('CORE  2019'!C386," ", 'CORE  2019'!E386)</f>
        <v xml:space="preserve"> </v>
      </c>
    </row>
    <row r="381" spans="7:7">
      <c r="G381" s="153" t="str">
        <f>CONCATENATE('CORE  2019'!C387," ", 'CORE  2019'!E387)</f>
        <v xml:space="preserve"> </v>
      </c>
    </row>
    <row r="382" spans="7:7">
      <c r="G382" s="153" t="str">
        <f>CONCATENATE('CORE  2019'!C388," ", 'CORE  2019'!E388)</f>
        <v xml:space="preserve"> </v>
      </c>
    </row>
    <row r="383" spans="7:7">
      <c r="G383" s="153" t="str">
        <f>CONCATENATE('CORE  2019'!C389," ", 'CORE  2019'!E389)</f>
        <v xml:space="preserve"> </v>
      </c>
    </row>
    <row r="384" spans="7:7">
      <c r="G384" s="153" t="str">
        <f>CONCATENATE('CORE  2019'!C390," ", 'CORE  2019'!E390)</f>
        <v xml:space="preserve"> </v>
      </c>
    </row>
    <row r="385" spans="7:7">
      <c r="G385" s="153" t="str">
        <f>CONCATENATE('CORE  2019'!C391," ", 'CORE  2019'!E391)</f>
        <v xml:space="preserve"> </v>
      </c>
    </row>
    <row r="386" spans="7:7">
      <c r="G386" s="153" t="str">
        <f>CONCATENATE('CORE  2019'!C392," ", 'CORE  2019'!E392)</f>
        <v xml:space="preserve"> </v>
      </c>
    </row>
    <row r="387" spans="7:7">
      <c r="G387" s="153" t="str">
        <f>CONCATENATE('CORE  2019'!C393," ", 'CORE  2019'!E393)</f>
        <v xml:space="preserve"> </v>
      </c>
    </row>
    <row r="388" spans="7:7">
      <c r="G388" s="153" t="str">
        <f>CONCATENATE('CORE  2019'!C394," ", 'CORE  2019'!E394)</f>
        <v xml:space="preserve"> </v>
      </c>
    </row>
    <row r="389" spans="7:7">
      <c r="G389" s="153" t="str">
        <f>CONCATENATE('CORE  2019'!C395," ", 'CORE  2019'!E395)</f>
        <v xml:space="preserve"> </v>
      </c>
    </row>
    <row r="390" spans="7:7">
      <c r="G390" s="153" t="str">
        <f>CONCATENATE('CORE  2019'!C396," ", 'CORE  2019'!E396)</f>
        <v xml:space="preserve"> </v>
      </c>
    </row>
    <row r="391" spans="7:7">
      <c r="G391" s="153" t="str">
        <f>CONCATENATE('CORE  2019'!C397," ", 'CORE  2019'!E397)</f>
        <v xml:space="preserve"> </v>
      </c>
    </row>
    <row r="392" spans="7:7">
      <c r="G392" s="153" t="str">
        <f>CONCATENATE('CORE  2019'!C398," ", 'CORE  2019'!E398)</f>
        <v xml:space="preserve"> </v>
      </c>
    </row>
    <row r="393" spans="7:7">
      <c r="G393" s="153" t="str">
        <f>CONCATENATE('CORE  2019'!C399," ", 'CORE  2019'!E399)</f>
        <v xml:space="preserve"> </v>
      </c>
    </row>
    <row r="394" spans="7:7">
      <c r="G394" s="153" t="str">
        <f>CONCATENATE('CORE  2019'!C400," ", 'CORE  2019'!E400)</f>
        <v xml:space="preserve"> </v>
      </c>
    </row>
    <row r="395" spans="7:7">
      <c r="G395" s="153" t="str">
        <f>CONCATENATE('CORE  2019'!C401," ", 'CORE  2019'!E401)</f>
        <v xml:space="preserve"> </v>
      </c>
    </row>
    <row r="396" spans="7:7">
      <c r="G396" s="153" t="str">
        <f>CONCATENATE('CORE  2019'!C402," ", 'CORE  2019'!E402)</f>
        <v xml:space="preserve"> </v>
      </c>
    </row>
    <row r="397" spans="7:7">
      <c r="G397" s="153" t="str">
        <f>CONCATENATE('CORE  2019'!C403," ", 'CORE  2019'!E403)</f>
        <v xml:space="preserve"> </v>
      </c>
    </row>
    <row r="398" spans="7:7">
      <c r="G398" s="153" t="str">
        <f>CONCATENATE('CORE  2019'!C404," ", 'CORE  2019'!E404)</f>
        <v xml:space="preserve"> </v>
      </c>
    </row>
    <row r="399" spans="7:7">
      <c r="G399" s="153" t="str">
        <f>CONCATENATE('CORE  2019'!C405," ", 'CORE  2019'!E405)</f>
        <v xml:space="preserve"> </v>
      </c>
    </row>
    <row r="400" spans="7:7">
      <c r="G400" s="153" t="str">
        <f>CONCATENATE('CORE  2019'!C406," ", 'CORE  2019'!E406)</f>
        <v xml:space="preserve"> </v>
      </c>
    </row>
    <row r="401" spans="7:7">
      <c r="G401" s="153" t="str">
        <f>CONCATENATE('CORE  2019'!C407," ", 'CORE  2019'!E407)</f>
        <v xml:space="preserve"> </v>
      </c>
    </row>
    <row r="402" spans="7:7">
      <c r="G402" s="153" t="str">
        <f>CONCATENATE('CORE  2019'!C408," ", 'CORE  2019'!E408)</f>
        <v xml:space="preserve"> </v>
      </c>
    </row>
    <row r="403" spans="7:7">
      <c r="G403" s="153" t="str">
        <f>CONCATENATE('CORE  2019'!C409," ", 'CORE  2019'!E409)</f>
        <v xml:space="preserve"> </v>
      </c>
    </row>
    <row r="404" spans="7:7">
      <c r="G404" s="153" t="str">
        <f>CONCATENATE('CORE  2019'!C410," ", 'CORE  2019'!E410)</f>
        <v xml:space="preserve"> </v>
      </c>
    </row>
    <row r="405" spans="7:7">
      <c r="G405" s="153" t="str">
        <f>CONCATENATE('CORE  2019'!C411," ", 'CORE  2019'!E411)</f>
        <v xml:space="preserve"> </v>
      </c>
    </row>
    <row r="406" spans="7:7">
      <c r="G406" s="153" t="str">
        <f>CONCATENATE('CORE  2019'!C412," ", 'CORE  2019'!E412)</f>
        <v xml:space="preserve"> </v>
      </c>
    </row>
    <row r="407" spans="7:7">
      <c r="G407" s="153" t="str">
        <f>CONCATENATE('CORE  2019'!C413," ", 'CORE  2019'!E413)</f>
        <v xml:space="preserve"> </v>
      </c>
    </row>
    <row r="408" spans="7:7">
      <c r="G408" s="153" t="str">
        <f>CONCATENATE('CORE  2019'!C414," ", 'CORE  2019'!E414)</f>
        <v xml:space="preserve"> </v>
      </c>
    </row>
    <row r="409" spans="7:7">
      <c r="G409" s="153" t="str">
        <f>CONCATENATE('CORE  2019'!C415," ", 'CORE  2019'!E415)</f>
        <v xml:space="preserve"> </v>
      </c>
    </row>
    <row r="410" spans="7:7">
      <c r="G410" s="153" t="str">
        <f>CONCATENATE('CORE  2019'!C416," ", 'CORE  2019'!E416)</f>
        <v xml:space="preserve"> </v>
      </c>
    </row>
    <row r="411" spans="7:7">
      <c r="G411" s="153" t="str">
        <f>CONCATENATE('CORE  2019'!C417," ", 'CORE  2019'!E417)</f>
        <v xml:space="preserve"> </v>
      </c>
    </row>
    <row r="412" spans="7:7">
      <c r="G412" s="153" t="str">
        <f>CONCATENATE('CORE  2019'!C418," ", 'CORE  2019'!E418)</f>
        <v xml:space="preserve"> </v>
      </c>
    </row>
    <row r="413" spans="7:7">
      <c r="G413" s="153" t="str">
        <f>CONCATENATE('CORE  2019'!C419," ", 'CORE  2019'!E419)</f>
        <v xml:space="preserve"> </v>
      </c>
    </row>
    <row r="414" spans="7:7">
      <c r="G414" s="153" t="str">
        <f>CONCATENATE('CORE  2019'!C420," ", 'CORE  2019'!E420)</f>
        <v xml:space="preserve"> </v>
      </c>
    </row>
    <row r="415" spans="7:7">
      <c r="G415" s="153" t="str">
        <f>CONCATENATE('CORE  2019'!C421," ", 'CORE  2019'!E421)</f>
        <v xml:space="preserve"> </v>
      </c>
    </row>
    <row r="416" spans="7:7">
      <c r="G416" s="153" t="str">
        <f>CONCATENATE('CORE  2019'!C422," ", 'CORE  2019'!E422)</f>
        <v xml:space="preserve"> </v>
      </c>
    </row>
    <row r="417" spans="7:7">
      <c r="G417" s="153" t="str">
        <f>CONCATENATE('CORE  2019'!C423," ", 'CORE  2019'!E423)</f>
        <v xml:space="preserve"> </v>
      </c>
    </row>
    <row r="418" spans="7:7">
      <c r="G418" s="153" t="str">
        <f>CONCATENATE('CORE  2019'!C424," ", 'CORE  2019'!E424)</f>
        <v xml:space="preserve"> </v>
      </c>
    </row>
    <row r="419" spans="7:7">
      <c r="G419" s="153" t="str">
        <f>CONCATENATE('CORE  2019'!C425," ", 'CORE  2019'!E425)</f>
        <v xml:space="preserve"> </v>
      </c>
    </row>
    <row r="420" spans="7:7">
      <c r="G420" s="153" t="str">
        <f>CONCATENATE('CORE  2019'!C426," ", 'CORE  2019'!E426)</f>
        <v xml:space="preserve"> </v>
      </c>
    </row>
    <row r="421" spans="7:7">
      <c r="G421" s="153" t="str">
        <f>CONCATENATE('CORE  2019'!C427," ", 'CORE  2019'!E427)</f>
        <v xml:space="preserve"> </v>
      </c>
    </row>
    <row r="422" spans="7:7">
      <c r="G422" s="153" t="str">
        <f>CONCATENATE('CORE  2019'!C428," ", 'CORE  2019'!E428)</f>
        <v xml:space="preserve"> </v>
      </c>
    </row>
    <row r="423" spans="7:7">
      <c r="G423" s="153" t="str">
        <f>CONCATENATE('CORE  2019'!C429," ", 'CORE  2019'!E429)</f>
        <v xml:space="preserve"> </v>
      </c>
    </row>
    <row r="424" spans="7:7">
      <c r="G424" s="153" t="str">
        <f>CONCATENATE('CORE  2019'!C430," ", 'CORE  2019'!E430)</f>
        <v xml:space="preserve"> </v>
      </c>
    </row>
    <row r="425" spans="7:7">
      <c r="G425" s="153" t="str">
        <f>CONCATENATE('CORE  2019'!C431," ", 'CORE  2019'!E431)</f>
        <v xml:space="preserve"> </v>
      </c>
    </row>
    <row r="426" spans="7:7">
      <c r="G426" s="153" t="str">
        <f>CONCATENATE('CORE  2019'!C432," ", 'CORE  2019'!E432)</f>
        <v xml:space="preserve"> </v>
      </c>
    </row>
    <row r="427" spans="7:7">
      <c r="G427" s="153" t="str">
        <f>CONCATENATE('CORE  2019'!C433," ", 'CORE  2019'!E433)</f>
        <v xml:space="preserve"> </v>
      </c>
    </row>
    <row r="428" spans="7:7">
      <c r="G428" s="153" t="str">
        <f>CONCATENATE('CORE  2019'!C434," ", 'CORE  2019'!E434)</f>
        <v xml:space="preserve"> </v>
      </c>
    </row>
    <row r="429" spans="7:7">
      <c r="G429" s="153" t="str">
        <f>CONCATENATE('CORE  2019'!C435," ", 'CORE  2019'!E435)</f>
        <v xml:space="preserve"> </v>
      </c>
    </row>
    <row r="430" spans="7:7">
      <c r="G430" s="153" t="str">
        <f>CONCATENATE('CORE  2019'!C436," ", 'CORE  2019'!E436)</f>
        <v xml:space="preserve"> </v>
      </c>
    </row>
    <row r="431" spans="7:7">
      <c r="G431" s="153" t="str">
        <f>CONCATENATE('CORE  2019'!C437," ", 'CORE  2019'!E437)</f>
        <v xml:space="preserve"> </v>
      </c>
    </row>
    <row r="432" spans="7:7">
      <c r="G432" s="153" t="str">
        <f>CONCATENATE('CORE  2019'!C438," ", 'CORE  2019'!E438)</f>
        <v xml:space="preserve"> </v>
      </c>
    </row>
    <row r="433" spans="7:7">
      <c r="G433" s="153" t="str">
        <f>CONCATENATE('CORE  2019'!C439," ", 'CORE  2019'!E439)</f>
        <v xml:space="preserve"> </v>
      </c>
    </row>
    <row r="434" spans="7:7">
      <c r="G434" s="153" t="str">
        <f>CONCATENATE('CORE  2019'!C440," ", 'CORE  2019'!E440)</f>
        <v xml:space="preserve"> </v>
      </c>
    </row>
    <row r="435" spans="7:7">
      <c r="G435" s="153" t="str">
        <f>CONCATENATE('CORE  2019'!C441," ", 'CORE  2019'!E441)</f>
        <v xml:space="preserve"> </v>
      </c>
    </row>
    <row r="436" spans="7:7">
      <c r="G436" s="153" t="str">
        <f>CONCATENATE('CORE  2019'!C442," ", 'CORE  2019'!E442)</f>
        <v xml:space="preserve"> </v>
      </c>
    </row>
    <row r="437" spans="7:7">
      <c r="G437" s="153" t="str">
        <f>CONCATENATE('CORE  2019'!C443," ", 'CORE  2019'!E443)</f>
        <v xml:space="preserve"> </v>
      </c>
    </row>
    <row r="438" spans="7:7">
      <c r="G438" s="153" t="str">
        <f>CONCATENATE('CORE  2019'!C444," ", 'CORE  2019'!E444)</f>
        <v xml:space="preserve"> </v>
      </c>
    </row>
    <row r="439" spans="7:7">
      <c r="G439" s="153" t="str">
        <f>CONCATENATE('CORE  2019'!C445," ", 'CORE  2019'!E445)</f>
        <v xml:space="preserve"> </v>
      </c>
    </row>
    <row r="440" spans="7:7">
      <c r="G440" s="153" t="str">
        <f>CONCATENATE('CORE  2019'!C446," ", 'CORE  2019'!E446)</f>
        <v xml:space="preserve"> </v>
      </c>
    </row>
    <row r="441" spans="7:7">
      <c r="G441" s="153" t="str">
        <f>CONCATENATE('CORE  2019'!C447," ", 'CORE  2019'!E447)</f>
        <v xml:space="preserve"> </v>
      </c>
    </row>
    <row r="442" spans="7:7">
      <c r="G442" s="153" t="str">
        <f>CONCATENATE('CORE  2019'!C448," ", 'CORE  2019'!E448)</f>
        <v xml:space="preserve"> </v>
      </c>
    </row>
    <row r="443" spans="7:7">
      <c r="G443" s="153" t="str">
        <f>CONCATENATE('CORE  2019'!C449," ", 'CORE  2019'!E449)</f>
        <v xml:space="preserve"> </v>
      </c>
    </row>
    <row r="444" spans="7:7">
      <c r="G444" s="153" t="str">
        <f>CONCATENATE('CORE  2019'!C450," ", 'CORE  2019'!E450)</f>
        <v xml:space="preserve"> </v>
      </c>
    </row>
    <row r="445" spans="7:7">
      <c r="G445" s="153" t="str">
        <f>CONCATENATE('CORE  2019'!C451," ", 'CORE  2019'!E451)</f>
        <v xml:space="preserve"> </v>
      </c>
    </row>
    <row r="446" spans="7:7">
      <c r="G446" s="153" t="str">
        <f>CONCATENATE('CORE  2019'!C452," ", 'CORE  2019'!E452)</f>
        <v xml:space="preserve"> </v>
      </c>
    </row>
    <row r="447" spans="7:7">
      <c r="G447" s="153" t="str">
        <f>CONCATENATE('CORE  2019'!C453," ", 'CORE  2019'!E453)</f>
        <v xml:space="preserve"> </v>
      </c>
    </row>
    <row r="448" spans="7:7">
      <c r="G448" s="153" t="str">
        <f>CONCATENATE('CORE  2019'!C454," ", 'CORE  2019'!E454)</f>
        <v xml:space="preserve"> </v>
      </c>
    </row>
    <row r="449" spans="7:7">
      <c r="G449" s="153" t="str">
        <f>CONCATENATE('CORE  2019'!C455," ", 'CORE  2019'!E455)</f>
        <v xml:space="preserve"> </v>
      </c>
    </row>
    <row r="450" spans="7:7">
      <c r="G450" s="153" t="str">
        <f>CONCATENATE('CORE  2019'!C456," ", 'CORE  2019'!E456)</f>
        <v xml:space="preserve"> </v>
      </c>
    </row>
    <row r="451" spans="7:7">
      <c r="G451" s="153" t="str">
        <f>CONCATENATE('CORE  2019'!C457," ", 'CORE  2019'!E457)</f>
        <v xml:space="preserve"> </v>
      </c>
    </row>
    <row r="452" spans="7:7">
      <c r="G452" s="153" t="str">
        <f>CONCATENATE('CORE  2019'!C458," ", 'CORE  2019'!E458)</f>
        <v xml:space="preserve"> </v>
      </c>
    </row>
    <row r="453" spans="7:7">
      <c r="G453" s="153" t="str">
        <f>CONCATENATE('CORE  2019'!C459," ", 'CORE  2019'!E459)</f>
        <v xml:space="preserve"> </v>
      </c>
    </row>
    <row r="454" spans="7:7">
      <c r="G454" s="153" t="str">
        <f>CONCATENATE('CORE  2019'!C460," ", 'CORE  2019'!E460)</f>
        <v xml:space="preserve"> </v>
      </c>
    </row>
    <row r="455" spans="7:7">
      <c r="G455" s="153" t="str">
        <f>CONCATENATE('CORE  2019'!C461," ", 'CORE  2019'!E461)</f>
        <v xml:space="preserve"> </v>
      </c>
    </row>
    <row r="456" spans="7:7">
      <c r="G456" s="153" t="str">
        <f>CONCATENATE('CORE  2019'!C462," ", 'CORE  2019'!E462)</f>
        <v xml:space="preserve"> </v>
      </c>
    </row>
    <row r="457" spans="7:7">
      <c r="G457" s="153" t="str">
        <f>CONCATENATE('CORE  2019'!C463," ", 'CORE  2019'!E463)</f>
        <v xml:space="preserve"> </v>
      </c>
    </row>
    <row r="458" spans="7:7">
      <c r="G458" s="153" t="str">
        <f>CONCATENATE('CORE  2019'!C464," ", 'CORE  2019'!E464)</f>
        <v xml:space="preserve"> </v>
      </c>
    </row>
    <row r="459" spans="7:7">
      <c r="G459" s="153" t="str">
        <f>CONCATENATE('CORE  2019'!C465," ", 'CORE  2019'!E465)</f>
        <v xml:space="preserve"> </v>
      </c>
    </row>
    <row r="460" spans="7:7">
      <c r="G460" s="153" t="str">
        <f>CONCATENATE('CORE  2019'!C466," ", 'CORE  2019'!E466)</f>
        <v xml:space="preserve"> </v>
      </c>
    </row>
    <row r="461" spans="7:7">
      <c r="G461" s="153" t="str">
        <f>CONCATENATE('CORE  2019'!C467," ", 'CORE  2019'!E467)</f>
        <v xml:space="preserve"> </v>
      </c>
    </row>
    <row r="462" spans="7:7">
      <c r="G462" s="153" t="str">
        <f>CONCATENATE('CORE  2019'!C468," ", 'CORE  2019'!E468)</f>
        <v xml:space="preserve"> </v>
      </c>
    </row>
    <row r="463" spans="7:7">
      <c r="G463" s="153" t="str">
        <f>CONCATENATE('CORE  2019'!C469," ", 'CORE  2019'!E469)</f>
        <v xml:space="preserve"> </v>
      </c>
    </row>
    <row r="464" spans="7:7">
      <c r="G464" s="153" t="str">
        <f>CONCATENATE('CORE  2019'!C470," ", 'CORE  2019'!E470)</f>
        <v xml:space="preserve"> </v>
      </c>
    </row>
    <row r="465" spans="7:7">
      <c r="G465" s="153" t="str">
        <f>CONCATENATE('CORE  2019'!C471," ", 'CORE  2019'!E471)</f>
        <v xml:space="preserve"> </v>
      </c>
    </row>
    <row r="466" spans="7:7">
      <c r="G466" s="153" t="str">
        <f>CONCATENATE('CORE  2019'!C472," ", 'CORE  2019'!E472)</f>
        <v xml:space="preserve"> </v>
      </c>
    </row>
    <row r="467" spans="7:7">
      <c r="G467" s="153" t="str">
        <f>CONCATENATE('CORE  2019'!C473," ", 'CORE  2019'!E473)</f>
        <v xml:space="preserve"> </v>
      </c>
    </row>
    <row r="468" spans="7:7">
      <c r="G468" s="153" t="str">
        <f>CONCATENATE('CORE  2019'!C474," ", 'CORE  2019'!E474)</f>
        <v xml:space="preserve"> </v>
      </c>
    </row>
    <row r="469" spans="7:7">
      <c r="G469" s="153" t="str">
        <f>CONCATENATE('CORE  2019'!C475," ", 'CORE  2019'!E475)</f>
        <v xml:space="preserve"> </v>
      </c>
    </row>
    <row r="470" spans="7:7">
      <c r="G470" s="153" t="str">
        <f>CONCATENATE('CORE  2019'!C476," ", 'CORE  2019'!E476)</f>
        <v xml:space="preserve"> </v>
      </c>
    </row>
    <row r="471" spans="7:7">
      <c r="G471" s="153" t="str">
        <f>CONCATENATE('CORE  2019'!C477," ", 'CORE  2019'!E477)</f>
        <v xml:space="preserve"> </v>
      </c>
    </row>
    <row r="472" spans="7:7">
      <c r="G472" s="153" t="str">
        <f>CONCATENATE('CORE  2019'!C478," ", 'CORE  2019'!E478)</f>
        <v xml:space="preserve"> </v>
      </c>
    </row>
    <row r="473" spans="7:7">
      <c r="G473" s="153" t="str">
        <f>CONCATENATE('CORE  2019'!C479," ", 'CORE  2019'!E479)</f>
        <v xml:space="preserve"> </v>
      </c>
    </row>
    <row r="474" spans="7:7">
      <c r="G474" s="153" t="str">
        <f>CONCATENATE('CORE  2019'!C480," ", 'CORE  2019'!E480)</f>
        <v xml:space="preserve"> </v>
      </c>
    </row>
    <row r="475" spans="7:7">
      <c r="G475" s="153" t="str">
        <f>CONCATENATE('CORE  2019'!C481," ", 'CORE  2019'!E481)</f>
        <v xml:space="preserve"> </v>
      </c>
    </row>
    <row r="476" spans="7:7">
      <c r="G476" s="153" t="str">
        <f>CONCATENATE('CORE  2019'!C482," ", 'CORE  2019'!E482)</f>
        <v xml:space="preserve"> </v>
      </c>
    </row>
    <row r="477" spans="7:7">
      <c r="G477" s="153" t="str">
        <f>CONCATENATE('CORE  2019'!C483," ", 'CORE  2019'!E483)</f>
        <v xml:space="preserve"> </v>
      </c>
    </row>
    <row r="478" spans="7:7">
      <c r="G478" s="153" t="str">
        <f>CONCATENATE('CORE  2019'!C484," ", 'CORE  2019'!E484)</f>
        <v xml:space="preserve"> </v>
      </c>
    </row>
    <row r="479" spans="7:7">
      <c r="G479" s="153" t="str">
        <f>CONCATENATE('CORE  2019'!C485," ", 'CORE  2019'!E485)</f>
        <v xml:space="preserve"> </v>
      </c>
    </row>
    <row r="480" spans="7:7">
      <c r="G480" s="153" t="str">
        <f>CONCATENATE('CORE  2019'!C486," ", 'CORE  2019'!E486)</f>
        <v xml:space="preserve"> </v>
      </c>
    </row>
    <row r="481" spans="7:7">
      <c r="G481" s="153" t="str">
        <f>CONCATENATE('CORE  2019'!C487," ", 'CORE  2019'!E487)</f>
        <v xml:space="preserve"> </v>
      </c>
    </row>
    <row r="482" spans="7:7">
      <c r="G482" s="153" t="str">
        <f>CONCATENATE('CORE  2019'!C488," ", 'CORE  2019'!E488)</f>
        <v xml:space="preserve"> </v>
      </c>
    </row>
    <row r="483" spans="7:7">
      <c r="G483" s="153" t="str">
        <f>CONCATENATE('CORE  2019'!C489," ", 'CORE  2019'!E489)</f>
        <v xml:space="preserve"> </v>
      </c>
    </row>
    <row r="484" spans="7:7">
      <c r="G484" s="153" t="str">
        <f>CONCATENATE('CORE  2019'!C490," ", 'CORE  2019'!E490)</f>
        <v xml:space="preserve"> </v>
      </c>
    </row>
    <row r="485" spans="7:7">
      <c r="G485" s="153" t="str">
        <f>CONCATENATE('CORE  2019'!C491," ", 'CORE  2019'!E491)</f>
        <v xml:space="preserve"> </v>
      </c>
    </row>
    <row r="486" spans="7:7">
      <c r="G486" s="153" t="str">
        <f>CONCATENATE('CORE  2019'!C492," ", 'CORE  2019'!E492)</f>
        <v xml:space="preserve"> </v>
      </c>
    </row>
    <row r="487" spans="7:7">
      <c r="G487" s="153" t="str">
        <f>CONCATENATE('CORE  2019'!C493," ", 'CORE  2019'!E493)</f>
        <v xml:space="preserve"> </v>
      </c>
    </row>
    <row r="488" spans="7:7">
      <c r="G488" s="153" t="str">
        <f>CONCATENATE('CORE  2019'!C494," ", 'CORE  2019'!E494)</f>
        <v xml:space="preserve"> </v>
      </c>
    </row>
    <row r="489" spans="7:7">
      <c r="G489" s="153" t="str">
        <f>CONCATENATE('CORE  2019'!C495," ", 'CORE  2019'!E495)</f>
        <v xml:space="preserve"> </v>
      </c>
    </row>
    <row r="490" spans="7:7">
      <c r="G490" s="153" t="str">
        <f>CONCATENATE('CORE  2019'!C496," ", 'CORE  2019'!E496)</f>
        <v xml:space="preserve"> </v>
      </c>
    </row>
    <row r="491" spans="7:7">
      <c r="G491" s="153" t="str">
        <f>CONCATENATE('CORE  2019'!C497," ", 'CORE  2019'!E497)</f>
        <v xml:space="preserve"> </v>
      </c>
    </row>
    <row r="492" spans="7:7">
      <c r="G492" s="153" t="str">
        <f>CONCATENATE('CORE  2019'!C498," ", 'CORE  2019'!E498)</f>
        <v xml:space="preserve"> </v>
      </c>
    </row>
    <row r="493" spans="7:7">
      <c r="G493" s="153" t="str">
        <f>CONCATENATE('CORE  2019'!C499," ", 'CORE  2019'!E499)</f>
        <v xml:space="preserve"> </v>
      </c>
    </row>
    <row r="494" spans="7:7">
      <c r="G494" s="153" t="str">
        <f>CONCATENATE('CORE  2019'!C500," ", 'CORE  2019'!E500)</f>
        <v xml:space="preserve"> </v>
      </c>
    </row>
    <row r="495" spans="7:7">
      <c r="G495" s="153" t="str">
        <f>CONCATENATE('CORE  2019'!C501," ", 'CORE  2019'!E501)</f>
        <v xml:space="preserve"> </v>
      </c>
    </row>
    <row r="496" spans="7:7">
      <c r="G496" s="153" t="str">
        <f>CONCATENATE('CORE  2019'!C502," ", 'CORE  2019'!E502)</f>
        <v xml:space="preserve"> </v>
      </c>
    </row>
    <row r="497" spans="7:7">
      <c r="G497" s="153" t="str">
        <f>CONCATENATE('CORE  2019'!C503," ", 'CORE  2019'!E503)</f>
        <v xml:space="preserve"> </v>
      </c>
    </row>
    <row r="498" spans="7:7">
      <c r="G498" s="153" t="str">
        <f>CONCATENATE('CORE  2019'!C504," ", 'CORE  2019'!E504)</f>
        <v xml:space="preserve"> </v>
      </c>
    </row>
    <row r="499" spans="7:7">
      <c r="G499" s="153" t="str">
        <f>CONCATENATE('CORE  2019'!C505," ", 'CORE  2019'!E505)</f>
        <v xml:space="preserve"> </v>
      </c>
    </row>
    <row r="500" spans="7:7">
      <c r="G500" s="153" t="str">
        <f>CONCATENATE('CORE  2019'!C506," ", 'CORE  2019'!E506)</f>
        <v xml:space="preserve"> </v>
      </c>
    </row>
    <row r="501" spans="7:7">
      <c r="G501" s="153" t="str">
        <f>CONCATENATE('CORE  2019'!C507," ", 'CORE  2019'!E507)</f>
        <v xml:space="preserve"> </v>
      </c>
    </row>
    <row r="502" spans="7:7">
      <c r="G502" s="153" t="str">
        <f>CONCATENATE('CORE  2019'!C508," ", 'CORE  2019'!E508)</f>
        <v xml:space="preserve"> </v>
      </c>
    </row>
    <row r="503" spans="7:7">
      <c r="G503" s="153" t="str">
        <f>CONCATENATE('CORE  2019'!C509," ", 'CORE  2019'!E509)</f>
        <v xml:space="preserve"> </v>
      </c>
    </row>
    <row r="504" spans="7:7">
      <c r="G504" s="153" t="str">
        <f>CONCATENATE('CORE  2019'!C510," ", 'CORE  2019'!E510)</f>
        <v xml:space="preserve"> </v>
      </c>
    </row>
    <row r="505" spans="7:7">
      <c r="G505" s="153" t="str">
        <f>CONCATENATE('CORE  2019'!C511," ", 'CORE  2019'!E511)</f>
        <v xml:space="preserve"> </v>
      </c>
    </row>
    <row r="506" spans="7:7">
      <c r="G506" s="153" t="str">
        <f>CONCATENATE('CORE  2019'!C512," ", 'CORE  2019'!E512)</f>
        <v xml:space="preserve"> </v>
      </c>
    </row>
    <row r="507" spans="7:7">
      <c r="G507" s="153" t="str">
        <f>CONCATENATE('CORE  2019'!C513," ", 'CORE  2019'!E513)</f>
        <v xml:space="preserve"> </v>
      </c>
    </row>
    <row r="508" spans="7:7">
      <c r="G508" s="153" t="str">
        <f>CONCATENATE('CORE  2019'!C514," ", 'CORE  2019'!E514)</f>
        <v xml:space="preserve"> </v>
      </c>
    </row>
    <row r="509" spans="7:7">
      <c r="G509" s="153" t="str">
        <f>CONCATENATE('CORE  2019'!C515," ", 'CORE  2019'!E515)</f>
        <v xml:space="preserve"> </v>
      </c>
    </row>
    <row r="510" spans="7:7">
      <c r="G510" s="153" t="str">
        <f>CONCATENATE('CORE  2019'!C516," ", 'CORE  2019'!E516)</f>
        <v xml:space="preserve"> </v>
      </c>
    </row>
    <row r="511" spans="7:7">
      <c r="G511" s="153" t="str">
        <f>CONCATENATE('CORE  2019'!C517," ", 'CORE  2019'!E517)</f>
        <v xml:space="preserve"> </v>
      </c>
    </row>
    <row r="512" spans="7:7">
      <c r="G512" s="153" t="str">
        <f>CONCATENATE('CORE  2019'!C518," ", 'CORE  2019'!E518)</f>
        <v xml:space="preserve"> </v>
      </c>
    </row>
    <row r="513" spans="7:7">
      <c r="G513" s="153" t="str">
        <f>CONCATENATE('CORE  2019'!C519," ", 'CORE  2019'!E519)</f>
        <v xml:space="preserve"> </v>
      </c>
    </row>
    <row r="514" spans="7:7">
      <c r="G514" s="153" t="str">
        <f>CONCATENATE('CORE  2019'!C520," ", 'CORE  2019'!E520)</f>
        <v xml:space="preserve"> </v>
      </c>
    </row>
    <row r="515" spans="7:7">
      <c r="G515" s="153" t="str">
        <f>CONCATENATE('CORE  2019'!C521," ", 'CORE  2019'!E521)</f>
        <v xml:space="preserve"> </v>
      </c>
    </row>
    <row r="516" spans="7:7">
      <c r="G516" s="153" t="str">
        <f>CONCATENATE('CORE  2019'!C522," ", 'CORE  2019'!E522)</f>
        <v xml:space="preserve"> </v>
      </c>
    </row>
    <row r="517" spans="7:7">
      <c r="G517" s="153" t="str">
        <f>CONCATENATE('CORE  2019'!C523," ", 'CORE  2019'!E523)</f>
        <v xml:space="preserve"> </v>
      </c>
    </row>
    <row r="518" spans="7:7">
      <c r="G518" s="153" t="str">
        <f>CONCATENATE('CORE  2019'!C524," ", 'CORE  2019'!E524)</f>
        <v xml:space="preserve"> </v>
      </c>
    </row>
    <row r="519" spans="7:7">
      <c r="G519" s="153" t="str">
        <f>CONCATENATE('CORE  2019'!C525," ", 'CORE  2019'!E525)</f>
        <v xml:space="preserve"> </v>
      </c>
    </row>
    <row r="520" spans="7:7">
      <c r="G520" s="153" t="str">
        <f>CONCATENATE('CORE  2019'!C526," ", 'CORE  2019'!E526)</f>
        <v xml:space="preserve"> </v>
      </c>
    </row>
    <row r="521" spans="7:7">
      <c r="G521" s="153" t="str">
        <f>CONCATENATE('CORE  2019'!C527," ", 'CORE  2019'!E527)</f>
        <v xml:space="preserve"> </v>
      </c>
    </row>
    <row r="522" spans="7:7">
      <c r="G522" s="153" t="str">
        <f>CONCATENATE('CORE  2019'!C528," ", 'CORE  2019'!E528)</f>
        <v xml:space="preserve"> </v>
      </c>
    </row>
    <row r="523" spans="7:7">
      <c r="G523" s="153" t="str">
        <f>CONCATENATE('CORE  2019'!C529," ", 'CORE  2019'!E529)</f>
        <v xml:space="preserve"> </v>
      </c>
    </row>
    <row r="524" spans="7:7">
      <c r="G524" s="153" t="str">
        <f>CONCATENATE('CORE  2019'!C530," ", 'CORE  2019'!E530)</f>
        <v xml:space="preserve"> </v>
      </c>
    </row>
    <row r="525" spans="7:7">
      <c r="G525" s="153" t="str">
        <f>CONCATENATE('CORE  2019'!C531," ", 'CORE  2019'!E531)</f>
        <v xml:space="preserve"> </v>
      </c>
    </row>
    <row r="526" spans="7:7">
      <c r="G526" s="153" t="str">
        <f>CONCATENATE('CORE  2019'!C532," ", 'CORE  2019'!E532)</f>
        <v xml:space="preserve"> </v>
      </c>
    </row>
    <row r="527" spans="7:7">
      <c r="G527" s="153" t="str">
        <f>CONCATENATE('CORE  2019'!C533," ", 'CORE  2019'!E533)</f>
        <v xml:space="preserve"> </v>
      </c>
    </row>
    <row r="528" spans="7:7">
      <c r="G528" s="153" t="str">
        <f>CONCATENATE('CORE  2019'!C534," ", 'CORE  2019'!E534)</f>
        <v xml:space="preserve"> </v>
      </c>
    </row>
    <row r="529" spans="7:7">
      <c r="G529" s="153" t="str">
        <f>CONCATENATE('CORE  2019'!C535," ", 'CORE  2019'!E535)</f>
        <v xml:space="preserve"> </v>
      </c>
    </row>
    <row r="530" spans="7:7">
      <c r="G530" s="153" t="str">
        <f>CONCATENATE('CORE  2019'!C536," ", 'CORE  2019'!E536)</f>
        <v xml:space="preserve"> </v>
      </c>
    </row>
    <row r="531" spans="7:7">
      <c r="G531" s="153" t="str">
        <f>CONCATENATE('CORE  2019'!C537," ", 'CORE  2019'!E537)</f>
        <v xml:space="preserve"> </v>
      </c>
    </row>
    <row r="532" spans="7:7">
      <c r="G532" s="153" t="str">
        <f>CONCATENATE('CORE  2019'!C538," ", 'CORE  2019'!E538)</f>
        <v xml:space="preserve"> </v>
      </c>
    </row>
    <row r="533" spans="7:7">
      <c r="G533" s="153" t="str">
        <f>CONCATENATE('CORE  2019'!C539," ", 'CORE  2019'!E539)</f>
        <v xml:space="preserve"> </v>
      </c>
    </row>
    <row r="534" spans="7:7">
      <c r="G534" s="153" t="str">
        <f>CONCATENATE('CORE  2019'!C540," ", 'CORE  2019'!E540)</f>
        <v xml:space="preserve"> </v>
      </c>
    </row>
    <row r="535" spans="7:7">
      <c r="G535" s="153" t="str">
        <f>CONCATENATE('CORE  2019'!C541," ", 'CORE  2019'!E541)</f>
        <v xml:space="preserve"> </v>
      </c>
    </row>
    <row r="536" spans="7:7">
      <c r="G536" s="153" t="str">
        <f>CONCATENATE('CORE  2019'!C542," ", 'CORE  2019'!E542)</f>
        <v xml:space="preserve"> </v>
      </c>
    </row>
    <row r="537" spans="7:7">
      <c r="G537" s="153" t="str">
        <f>CONCATENATE('CORE  2019'!C543," ", 'CORE  2019'!E543)</f>
        <v xml:space="preserve"> </v>
      </c>
    </row>
    <row r="538" spans="7:7">
      <c r="G538" s="153" t="str">
        <f>CONCATENATE('CORE  2019'!C544," ", 'CORE  2019'!E544)</f>
        <v xml:space="preserve"> </v>
      </c>
    </row>
    <row r="539" spans="7:7">
      <c r="G539" s="153" t="str">
        <f>CONCATENATE('CORE  2019'!C545," ", 'CORE  2019'!E545)</f>
        <v xml:space="preserve"> </v>
      </c>
    </row>
    <row r="540" spans="7:7">
      <c r="G540" s="153" t="str">
        <f>CONCATENATE('CORE  2019'!C546," ", 'CORE  2019'!E546)</f>
        <v xml:space="preserve"> </v>
      </c>
    </row>
    <row r="541" spans="7:7">
      <c r="G541" s="153" t="str">
        <f>CONCATENATE('CORE  2019'!C547," ", 'CORE  2019'!E547)</f>
        <v xml:space="preserve"> </v>
      </c>
    </row>
    <row r="542" spans="7:7">
      <c r="G542" s="153" t="str">
        <f>CONCATENATE('CORE  2019'!C548," ", 'CORE  2019'!E548)</f>
        <v xml:space="preserve"> </v>
      </c>
    </row>
    <row r="543" spans="7:7">
      <c r="G543" s="153" t="str">
        <f>CONCATENATE('CORE  2019'!C549," ", 'CORE  2019'!E549)</f>
        <v xml:space="preserve"> </v>
      </c>
    </row>
    <row r="544" spans="7:7">
      <c r="G544" s="153" t="str">
        <f>CONCATENATE('CORE  2019'!C550," ", 'CORE  2019'!E550)</f>
        <v xml:space="preserve"> </v>
      </c>
    </row>
    <row r="545" spans="7:7">
      <c r="G545" s="153" t="str">
        <f>CONCATENATE('CORE  2019'!C551," ", 'CORE  2019'!E551)</f>
        <v xml:space="preserve"> </v>
      </c>
    </row>
    <row r="546" spans="7:7">
      <c r="G546" s="153" t="str">
        <f>CONCATENATE('CORE  2019'!C552," ", 'CORE  2019'!E552)</f>
        <v xml:space="preserve"> </v>
      </c>
    </row>
    <row r="547" spans="7:7">
      <c r="G547" s="153" t="str">
        <f>CONCATENATE('CORE  2019'!C553," ", 'CORE  2019'!E553)</f>
        <v xml:space="preserve"> </v>
      </c>
    </row>
    <row r="548" spans="7:7">
      <c r="G548" s="153" t="str">
        <f>CONCATENATE('CORE  2019'!C554," ", 'CORE  2019'!E554)</f>
        <v xml:space="preserve"> </v>
      </c>
    </row>
    <row r="549" spans="7:7">
      <c r="G549" s="153" t="str">
        <f>CONCATENATE('CORE  2019'!C555," ", 'CORE  2019'!E555)</f>
        <v xml:space="preserve"> </v>
      </c>
    </row>
    <row r="550" spans="7:7">
      <c r="G550" s="153" t="str">
        <f>CONCATENATE('CORE  2019'!C556," ", 'CORE  2019'!E556)</f>
        <v xml:space="preserve"> </v>
      </c>
    </row>
    <row r="551" spans="7:7">
      <c r="G551" s="153" t="str">
        <f>CONCATENATE('CORE  2019'!C557," ", 'CORE  2019'!E557)</f>
        <v xml:space="preserve"> </v>
      </c>
    </row>
    <row r="552" spans="7:7">
      <c r="G552" s="153" t="str">
        <f>CONCATENATE('CORE  2019'!C558," ", 'CORE  2019'!E558)</f>
        <v xml:space="preserve"> </v>
      </c>
    </row>
    <row r="553" spans="7:7">
      <c r="G553" s="153" t="str">
        <f>CONCATENATE('CORE  2019'!C559," ", 'CORE  2019'!E559)</f>
        <v xml:space="preserve"> </v>
      </c>
    </row>
    <row r="554" spans="7:7">
      <c r="G554" s="153" t="str">
        <f>CONCATENATE('CORE  2019'!C560," ", 'CORE  2019'!E560)</f>
        <v xml:space="preserve"> </v>
      </c>
    </row>
    <row r="555" spans="7:7">
      <c r="G555" s="153" t="str">
        <f>CONCATENATE('CORE  2019'!C561," ", 'CORE  2019'!E561)</f>
        <v xml:space="preserve"> </v>
      </c>
    </row>
    <row r="556" spans="7:7">
      <c r="G556" s="153" t="str">
        <f>CONCATENATE('CORE  2019'!C562," ", 'CORE  2019'!E562)</f>
        <v xml:space="preserve"> </v>
      </c>
    </row>
    <row r="557" spans="7:7">
      <c r="G557" s="153" t="str">
        <f>CONCATENATE('CORE  2019'!C563," ", 'CORE  2019'!E563)</f>
        <v xml:space="preserve"> </v>
      </c>
    </row>
    <row r="558" spans="7:7">
      <c r="G558" s="153" t="str">
        <f>CONCATENATE('CORE  2019'!C564," ", 'CORE  2019'!E564)</f>
        <v xml:space="preserve"> </v>
      </c>
    </row>
    <row r="559" spans="7:7">
      <c r="G559" s="153" t="str">
        <f>CONCATENATE('CORE  2019'!C565," ", 'CORE  2019'!E565)</f>
        <v xml:space="preserve"> </v>
      </c>
    </row>
    <row r="560" spans="7:7">
      <c r="G560" s="153" t="str">
        <f>CONCATENATE('CORE  2019'!C566," ", 'CORE  2019'!E566)</f>
        <v xml:space="preserve"> </v>
      </c>
    </row>
    <row r="561" spans="7:7">
      <c r="G561" s="153" t="str">
        <f>CONCATENATE('CORE  2019'!C567," ", 'CORE  2019'!E567)</f>
        <v xml:space="preserve"> </v>
      </c>
    </row>
    <row r="562" spans="7:7">
      <c r="G562" s="153" t="str">
        <f>CONCATENATE('CORE  2019'!C568," ", 'CORE  2019'!E568)</f>
        <v xml:space="preserve"> </v>
      </c>
    </row>
    <row r="563" spans="7:7">
      <c r="G563" s="153" t="str">
        <f>CONCATENATE('CORE  2019'!C569," ", 'CORE  2019'!E569)</f>
        <v xml:space="preserve"> </v>
      </c>
    </row>
    <row r="564" spans="7:7">
      <c r="G564" s="153" t="str">
        <f>CONCATENATE('CORE  2019'!C570," ", 'CORE  2019'!E570)</f>
        <v xml:space="preserve"> </v>
      </c>
    </row>
    <row r="565" spans="7:7">
      <c r="G565" s="153" t="str">
        <f>CONCATENATE('CORE  2019'!C571," ", 'CORE  2019'!E571)</f>
        <v xml:space="preserve"> </v>
      </c>
    </row>
    <row r="566" spans="7:7">
      <c r="G566" s="153" t="str">
        <f>CONCATENATE('CORE  2019'!C572," ", 'CORE  2019'!E572)</f>
        <v xml:space="preserve"> </v>
      </c>
    </row>
    <row r="567" spans="7:7">
      <c r="G567" s="153" t="str">
        <f>CONCATENATE('CORE  2019'!C573," ", 'CORE  2019'!E573)</f>
        <v xml:space="preserve"> </v>
      </c>
    </row>
    <row r="568" spans="7:7">
      <c r="G568" s="153" t="str">
        <f>CONCATENATE('CORE  2019'!C574," ", 'CORE  2019'!E574)</f>
        <v xml:space="preserve"> </v>
      </c>
    </row>
    <row r="569" spans="7:7">
      <c r="G569" s="153" t="str">
        <f>CONCATENATE('CORE  2019'!C575," ", 'CORE  2019'!E575)</f>
        <v xml:space="preserve"> </v>
      </c>
    </row>
    <row r="570" spans="7:7">
      <c r="G570" s="153" t="str">
        <f>CONCATENATE('CORE  2019'!C576," ", 'CORE  2019'!E576)</f>
        <v xml:space="preserve"> </v>
      </c>
    </row>
    <row r="571" spans="7:7">
      <c r="G571" s="153" t="str">
        <f>CONCATENATE('CORE  2019'!C577," ", 'CORE  2019'!E577)</f>
        <v xml:space="preserve"> </v>
      </c>
    </row>
    <row r="572" spans="7:7">
      <c r="G572" s="153" t="str">
        <f>CONCATENATE('CORE  2019'!C578," ", 'CORE  2019'!E578)</f>
        <v xml:space="preserve"> </v>
      </c>
    </row>
    <row r="573" spans="7:7">
      <c r="G573" s="153" t="str">
        <f>CONCATENATE('CORE  2019'!C579," ", 'CORE  2019'!E579)</f>
        <v xml:space="preserve"> </v>
      </c>
    </row>
    <row r="574" spans="7:7">
      <c r="G574" s="153" t="str">
        <f>CONCATENATE('CORE  2019'!C580," ", 'CORE  2019'!E580)</f>
        <v xml:space="preserve"> </v>
      </c>
    </row>
    <row r="575" spans="7:7">
      <c r="G575" s="153" t="str">
        <f>CONCATENATE('CORE  2019'!C581," ", 'CORE  2019'!E581)</f>
        <v xml:space="preserve"> </v>
      </c>
    </row>
    <row r="576" spans="7:7">
      <c r="G576" s="153" t="str">
        <f>CONCATENATE('CORE  2019'!C582," ", 'CORE  2019'!E582)</f>
        <v xml:space="preserve"> </v>
      </c>
    </row>
    <row r="577" spans="7:7">
      <c r="G577" s="153" t="str">
        <f>CONCATENATE('CORE  2019'!C583," ", 'CORE  2019'!E583)</f>
        <v xml:space="preserve"> </v>
      </c>
    </row>
    <row r="578" spans="7:7">
      <c r="G578" s="153" t="str">
        <f>CONCATENATE('CORE  2019'!C584," ", 'CORE  2019'!E584)</f>
        <v xml:space="preserve"> </v>
      </c>
    </row>
    <row r="579" spans="7:7">
      <c r="G579" s="153" t="str">
        <f>CONCATENATE('CORE  2019'!C585," ", 'CORE  2019'!E585)</f>
        <v xml:space="preserve"> </v>
      </c>
    </row>
    <row r="580" spans="7:7">
      <c r="G580" s="153" t="str">
        <f>CONCATENATE('CORE  2019'!C586," ", 'CORE  2019'!E586)</f>
        <v xml:space="preserve"> </v>
      </c>
    </row>
    <row r="581" spans="7:7">
      <c r="G581" s="153" t="str">
        <f>CONCATENATE('CORE  2019'!C587," ", 'CORE  2019'!E587)</f>
        <v xml:space="preserve"> </v>
      </c>
    </row>
    <row r="582" spans="7:7">
      <c r="G582" s="153" t="str">
        <f>CONCATENATE('CORE  2019'!C588," ", 'CORE  2019'!E588)</f>
        <v xml:space="preserve"> </v>
      </c>
    </row>
    <row r="583" spans="7:7">
      <c r="G583" s="153" t="str">
        <f>CONCATENATE('CORE  2019'!C589," ", 'CORE  2019'!E589)</f>
        <v xml:space="preserve"> </v>
      </c>
    </row>
    <row r="584" spans="7:7">
      <c r="G584" s="153" t="str">
        <f>CONCATENATE('CORE  2019'!C590," ", 'CORE  2019'!E590)</f>
        <v xml:space="preserve"> </v>
      </c>
    </row>
    <row r="585" spans="7:7">
      <c r="G585" s="153" t="str">
        <f>CONCATENATE('CORE  2019'!C591," ", 'CORE  2019'!E591)</f>
        <v xml:space="preserve"> </v>
      </c>
    </row>
    <row r="586" spans="7:7">
      <c r="G586" s="153" t="str">
        <f>CONCATENATE('CORE  2019'!C592," ", 'CORE  2019'!E592)</f>
        <v xml:space="preserve"> </v>
      </c>
    </row>
    <row r="587" spans="7:7">
      <c r="G587" s="153" t="str">
        <f>CONCATENATE('CORE  2019'!C593," ", 'CORE  2019'!E593)</f>
        <v xml:space="preserve"> </v>
      </c>
    </row>
    <row r="588" spans="7:7">
      <c r="G588" s="153" t="str">
        <f>CONCATENATE('CORE  2019'!C594," ", 'CORE  2019'!E594)</f>
        <v xml:space="preserve"> </v>
      </c>
    </row>
    <row r="589" spans="7:7">
      <c r="G589" s="153" t="str">
        <f>CONCATENATE('CORE  2019'!C595," ", 'CORE  2019'!E595)</f>
        <v xml:space="preserve"> </v>
      </c>
    </row>
    <row r="590" spans="7:7">
      <c r="G590" s="153" t="str">
        <f>CONCATENATE('CORE  2019'!C596," ", 'CORE  2019'!E596)</f>
        <v xml:space="preserve"> </v>
      </c>
    </row>
    <row r="591" spans="7:7">
      <c r="G591" s="153" t="str">
        <f>CONCATENATE('CORE  2019'!C597," ", 'CORE  2019'!E597)</f>
        <v xml:space="preserve"> </v>
      </c>
    </row>
    <row r="592" spans="7:7">
      <c r="G592" s="153" t="str">
        <f>CONCATENATE('CORE  2019'!C598," ", 'CORE  2019'!E598)</f>
        <v xml:space="preserve"> </v>
      </c>
    </row>
    <row r="593" spans="7:7">
      <c r="G593" s="153" t="str">
        <f>CONCATENATE('CORE  2019'!C599," ", 'CORE  2019'!E599)</f>
        <v xml:space="preserve"> </v>
      </c>
    </row>
    <row r="594" spans="7:7">
      <c r="G594" s="153" t="str">
        <f>CONCATENATE('CORE  2019'!C600," ", 'CORE  2019'!E600)</f>
        <v xml:space="preserve"> </v>
      </c>
    </row>
    <row r="595" spans="7:7">
      <c r="G595" s="153" t="str">
        <f>CONCATENATE('CORE  2019'!C601," ", 'CORE  2019'!E601)</f>
        <v xml:space="preserve"> </v>
      </c>
    </row>
    <row r="596" spans="7:7">
      <c r="G596" s="153" t="str">
        <f>CONCATENATE('CORE  2019'!C602," ", 'CORE  2019'!E602)</f>
        <v xml:space="preserve"> </v>
      </c>
    </row>
    <row r="597" spans="7:7">
      <c r="G597" s="153" t="str">
        <f>CONCATENATE('CORE  2019'!C603," ", 'CORE  2019'!E603)</f>
        <v xml:space="preserve"> </v>
      </c>
    </row>
    <row r="598" spans="7:7">
      <c r="G598" s="153" t="str">
        <f>CONCATENATE('CORE  2019'!C604," ", 'CORE  2019'!E604)</f>
        <v xml:space="preserve"> </v>
      </c>
    </row>
    <row r="599" spans="7:7">
      <c r="G599" s="153" t="str">
        <f>CONCATENATE('CORE  2019'!C605," ", 'CORE  2019'!E605)</f>
        <v xml:space="preserve"> </v>
      </c>
    </row>
    <row r="600" spans="7:7">
      <c r="G600" s="153" t="str">
        <f>CONCATENATE('CORE  2019'!C606," ", 'CORE  2019'!E606)</f>
        <v xml:space="preserve"> </v>
      </c>
    </row>
    <row r="601" spans="7:7">
      <c r="G601" s="153" t="str">
        <f>CONCATENATE('CORE  2019'!C607," ", 'CORE  2019'!E607)</f>
        <v xml:space="preserve"> </v>
      </c>
    </row>
    <row r="602" spans="7:7">
      <c r="G602" s="153" t="str">
        <f>CONCATENATE('CORE  2019'!C608," ", 'CORE  2019'!E608)</f>
        <v xml:space="preserve"> </v>
      </c>
    </row>
    <row r="603" spans="7:7">
      <c r="G603" s="153" t="str">
        <f>CONCATENATE('CORE  2019'!C609," ", 'CORE  2019'!E609)</f>
        <v xml:space="preserve"> </v>
      </c>
    </row>
    <row r="604" spans="7:7">
      <c r="G604" s="153" t="str">
        <f>CONCATENATE('CORE  2019'!C610," ", 'CORE  2019'!E610)</f>
        <v xml:space="preserve"> </v>
      </c>
    </row>
    <row r="605" spans="7:7">
      <c r="G605" s="153" t="str">
        <f>CONCATENATE('CORE  2019'!C611," ", 'CORE  2019'!E611)</f>
        <v xml:space="preserve"> </v>
      </c>
    </row>
    <row r="606" spans="7:7">
      <c r="G606" s="153" t="str">
        <f>CONCATENATE('CORE  2019'!C612," ", 'CORE  2019'!E612)</f>
        <v xml:space="preserve"> </v>
      </c>
    </row>
    <row r="607" spans="7:7">
      <c r="G607" s="153" t="str">
        <f>CONCATENATE('CORE  2019'!C613," ", 'CORE  2019'!E613)</f>
        <v xml:space="preserve"> </v>
      </c>
    </row>
    <row r="608" spans="7:7">
      <c r="G608" s="153" t="str">
        <f>CONCATENATE('CORE  2019'!C614," ", 'CORE  2019'!E614)</f>
        <v xml:space="preserve"> </v>
      </c>
    </row>
    <row r="609" spans="7:7">
      <c r="G609" s="153" t="str">
        <f>CONCATENATE('CORE  2019'!C615," ", 'CORE  2019'!E615)</f>
        <v xml:space="preserve"> </v>
      </c>
    </row>
    <row r="610" spans="7:7">
      <c r="G610" s="153" t="str">
        <f>CONCATENATE('CORE  2019'!C616," ", 'CORE  2019'!E616)</f>
        <v xml:space="preserve"> </v>
      </c>
    </row>
    <row r="611" spans="7:7">
      <c r="G611" s="153" t="str">
        <f>CONCATENATE('CORE  2019'!C617," ", 'CORE  2019'!E617)</f>
        <v xml:space="preserve"> </v>
      </c>
    </row>
    <row r="612" spans="7:7">
      <c r="G612" s="153" t="str">
        <f>CONCATENATE('CORE  2019'!C618," ", 'CORE  2019'!E618)</f>
        <v xml:space="preserve"> </v>
      </c>
    </row>
    <row r="613" spans="7:7">
      <c r="G613" s="153" t="str">
        <f>CONCATENATE('CORE  2019'!C619," ", 'CORE  2019'!E619)</f>
        <v xml:space="preserve"> </v>
      </c>
    </row>
    <row r="614" spans="7:7">
      <c r="G614" s="153" t="str">
        <f>CONCATENATE('CORE  2019'!C620," ", 'CORE  2019'!E620)</f>
        <v xml:space="preserve"> </v>
      </c>
    </row>
    <row r="615" spans="7:7">
      <c r="G615" s="153" t="str">
        <f>CONCATENATE('CORE  2019'!C621," ", 'CORE  2019'!E621)</f>
        <v xml:space="preserve"> </v>
      </c>
    </row>
    <row r="616" spans="7:7">
      <c r="G616" s="153" t="str">
        <f>CONCATENATE('CORE  2019'!C622," ", 'CORE  2019'!E622)</f>
        <v xml:space="preserve"> </v>
      </c>
    </row>
    <row r="617" spans="7:7">
      <c r="G617" s="153" t="str">
        <f>CONCATENATE('CORE  2019'!C623," ", 'CORE  2019'!E623)</f>
        <v xml:space="preserve"> </v>
      </c>
    </row>
    <row r="618" spans="7:7">
      <c r="G618" s="153" t="str">
        <f>CONCATENATE('CORE  2019'!C624," ", 'CORE  2019'!E624)</f>
        <v xml:space="preserve"> </v>
      </c>
    </row>
    <row r="619" spans="7:7">
      <c r="G619" s="153" t="str">
        <f>CONCATENATE('CORE  2019'!C625," ", 'CORE  2019'!E625)</f>
        <v xml:space="preserve"> </v>
      </c>
    </row>
    <row r="620" spans="7:7">
      <c r="G620" s="153" t="str">
        <f>CONCATENATE('CORE  2019'!C626," ", 'CORE  2019'!E626)</f>
        <v xml:space="preserve"> </v>
      </c>
    </row>
    <row r="621" spans="7:7">
      <c r="G621" s="153" t="str">
        <f>CONCATENATE('CORE  2019'!C627," ", 'CORE  2019'!E627)</f>
        <v xml:space="preserve"> </v>
      </c>
    </row>
    <row r="622" spans="7:7">
      <c r="G622" s="153" t="str">
        <f>CONCATENATE('CORE  2019'!C628," ", 'CORE  2019'!E628)</f>
        <v xml:space="preserve"> </v>
      </c>
    </row>
    <row r="623" spans="7:7">
      <c r="G623" s="153" t="str">
        <f>CONCATENATE('CORE  2019'!C629," ", 'CORE  2019'!E629)</f>
        <v xml:space="preserve"> </v>
      </c>
    </row>
    <row r="624" spans="7:7">
      <c r="G624" s="153" t="str">
        <f>CONCATENATE('CORE  2019'!C630," ", 'CORE  2019'!E630)</f>
        <v xml:space="preserve"> </v>
      </c>
    </row>
    <row r="625" spans="7:7">
      <c r="G625" s="153" t="str">
        <f>CONCATENATE('CORE  2019'!C631," ", 'CORE  2019'!E631)</f>
        <v xml:space="preserve"> </v>
      </c>
    </row>
    <row r="626" spans="7:7">
      <c r="G626" s="153" t="str">
        <f>CONCATENATE('CORE  2019'!C632," ", 'CORE  2019'!E632)</f>
        <v xml:space="preserve"> </v>
      </c>
    </row>
    <row r="627" spans="7:7">
      <c r="G627" s="153" t="str">
        <f>CONCATENATE('CORE  2019'!C633," ", 'CORE  2019'!E633)</f>
        <v xml:space="preserve"> </v>
      </c>
    </row>
    <row r="628" spans="7:7">
      <c r="G628" s="153" t="str">
        <f>CONCATENATE('CORE  2019'!C634," ", 'CORE  2019'!E634)</f>
        <v xml:space="preserve"> </v>
      </c>
    </row>
    <row r="629" spans="7:7">
      <c r="G629" s="153" t="str">
        <f>CONCATENATE('CORE  2019'!C635," ", 'CORE  2019'!E635)</f>
        <v xml:space="preserve"> </v>
      </c>
    </row>
    <row r="630" spans="7:7">
      <c r="G630" s="153" t="str">
        <f>CONCATENATE('CORE  2019'!C636," ", 'CORE  2019'!E636)</f>
        <v xml:space="preserve"> </v>
      </c>
    </row>
    <row r="631" spans="7:7">
      <c r="G631" s="153" t="str">
        <f>CONCATENATE('CORE  2019'!C637," ", 'CORE  2019'!E637)</f>
        <v xml:space="preserve"> </v>
      </c>
    </row>
    <row r="632" spans="7:7">
      <c r="G632" s="153" t="str">
        <f>CONCATENATE('CORE  2019'!C638," ", 'CORE  2019'!E638)</f>
        <v xml:space="preserve"> </v>
      </c>
    </row>
    <row r="633" spans="7:7">
      <c r="G633" s="153" t="str">
        <f>CONCATENATE('CORE  2019'!C639," ", 'CORE  2019'!E639)</f>
        <v xml:space="preserve"> </v>
      </c>
    </row>
    <row r="634" spans="7:7">
      <c r="G634" s="153" t="str">
        <f>CONCATENATE('CORE  2019'!C640," ", 'CORE  2019'!E640)</f>
        <v xml:space="preserve"> </v>
      </c>
    </row>
    <row r="635" spans="7:7">
      <c r="G635" s="153" t="str">
        <f>CONCATENATE('CORE  2019'!C641," ", 'CORE  2019'!E641)</f>
        <v xml:space="preserve"> </v>
      </c>
    </row>
    <row r="636" spans="7:7">
      <c r="G636" s="153" t="str">
        <f>CONCATENATE('CORE  2019'!C642," ", 'CORE  2019'!E642)</f>
        <v xml:space="preserve"> </v>
      </c>
    </row>
    <row r="637" spans="7:7">
      <c r="G637" s="153" t="str">
        <f>CONCATENATE('CORE  2019'!C643," ", 'CORE  2019'!E643)</f>
        <v xml:space="preserve"> </v>
      </c>
    </row>
    <row r="638" spans="7:7">
      <c r="G638" s="153" t="str">
        <f>CONCATENATE('CORE  2019'!C644," ", 'CORE  2019'!E644)</f>
        <v xml:space="preserve"> </v>
      </c>
    </row>
    <row r="639" spans="7:7">
      <c r="G639" s="153" t="str">
        <f>CONCATENATE('CORE  2019'!C645," ", 'CORE  2019'!E645)</f>
        <v xml:space="preserve"> </v>
      </c>
    </row>
    <row r="640" spans="7:7">
      <c r="G640" s="153" t="str">
        <f>CONCATENATE('CORE  2019'!C646," ", 'CORE  2019'!E646)</f>
        <v xml:space="preserve"> </v>
      </c>
    </row>
    <row r="641" spans="7:7">
      <c r="G641" s="153" t="str">
        <f>CONCATENATE('CORE  2019'!C647," ", 'CORE  2019'!E647)</f>
        <v xml:space="preserve"> </v>
      </c>
    </row>
    <row r="642" spans="7:7">
      <c r="G642" s="153" t="str">
        <f>CONCATENATE('CORE  2019'!C648," ", 'CORE  2019'!E648)</f>
        <v xml:space="preserve"> </v>
      </c>
    </row>
    <row r="643" spans="7:7">
      <c r="G643" s="153" t="str">
        <f>CONCATENATE('CORE  2019'!C649," ", 'CORE  2019'!E649)</f>
        <v xml:space="preserve"> </v>
      </c>
    </row>
    <row r="644" spans="7:7">
      <c r="G644" s="153" t="str">
        <f>CONCATENATE('CORE  2019'!C650," ", 'CORE  2019'!E650)</f>
        <v xml:space="preserve"> </v>
      </c>
    </row>
    <row r="645" spans="7:7">
      <c r="G645" s="153" t="str">
        <f>CONCATENATE('CORE  2019'!C651," ", 'CORE  2019'!E651)</f>
        <v xml:space="preserve"> </v>
      </c>
    </row>
    <row r="646" spans="7:7">
      <c r="G646" s="153" t="str">
        <f>CONCATENATE('CORE  2019'!C652," ", 'CORE  2019'!E652)</f>
        <v xml:space="preserve"> </v>
      </c>
    </row>
    <row r="647" spans="7:7">
      <c r="G647" s="153" t="str">
        <f>CONCATENATE('CORE  2019'!C653," ", 'CORE  2019'!E653)</f>
        <v xml:space="preserve"> </v>
      </c>
    </row>
    <row r="648" spans="7:7">
      <c r="G648" s="153" t="str">
        <f>CONCATENATE('CORE  2019'!C654," ", 'CORE  2019'!E654)</f>
        <v xml:space="preserve"> </v>
      </c>
    </row>
    <row r="649" spans="7:7">
      <c r="G649" s="153" t="str">
        <f>CONCATENATE('CORE  2019'!C655," ", 'CORE  2019'!E655)</f>
        <v xml:space="preserve"> </v>
      </c>
    </row>
    <row r="650" spans="7:7">
      <c r="G650" s="153" t="str">
        <f>CONCATENATE('CORE  2019'!C656," ", 'CORE  2019'!E656)</f>
        <v xml:space="preserve"> </v>
      </c>
    </row>
    <row r="651" spans="7:7">
      <c r="G651" s="153" t="str">
        <f>CONCATENATE('CORE  2019'!C657," ", 'CORE  2019'!E657)</f>
        <v xml:space="preserve"> </v>
      </c>
    </row>
    <row r="652" spans="7:7">
      <c r="G652" s="153" t="str">
        <f>CONCATENATE('CORE  2019'!C658," ", 'CORE  2019'!E658)</f>
        <v xml:space="preserve"> </v>
      </c>
    </row>
    <row r="653" spans="7:7">
      <c r="G653" s="153" t="str">
        <f>CONCATENATE('CORE  2019'!C659," ", 'CORE  2019'!E659)</f>
        <v xml:space="preserve"> </v>
      </c>
    </row>
    <row r="654" spans="7:7">
      <c r="G654" s="153" t="str">
        <f>CONCATENATE('CORE  2019'!C660," ", 'CORE  2019'!E660)</f>
        <v xml:space="preserve"> </v>
      </c>
    </row>
    <row r="655" spans="7:7">
      <c r="G655" s="153" t="str">
        <f>CONCATENATE('CORE  2019'!C661," ", 'CORE  2019'!E661)</f>
        <v xml:space="preserve"> </v>
      </c>
    </row>
    <row r="656" spans="7:7">
      <c r="G656" s="153" t="str">
        <f>CONCATENATE('CORE  2019'!C662," ", 'CORE  2019'!E662)</f>
        <v xml:space="preserve"> </v>
      </c>
    </row>
    <row r="657" spans="7:7">
      <c r="G657" s="153" t="str">
        <f>CONCATENATE('CORE  2019'!C663," ", 'CORE  2019'!E663)</f>
        <v xml:space="preserve"> </v>
      </c>
    </row>
    <row r="658" spans="7:7">
      <c r="G658" s="153" t="str">
        <f>CONCATENATE('CORE  2019'!C664," ", 'CORE  2019'!E664)</f>
        <v xml:space="preserve"> </v>
      </c>
    </row>
    <row r="659" spans="7:7">
      <c r="G659" s="153" t="str">
        <f>CONCATENATE('CORE  2019'!C665," ", 'CORE  2019'!E665)</f>
        <v xml:space="preserve"> </v>
      </c>
    </row>
    <row r="660" spans="7:7">
      <c r="G660" s="153" t="str">
        <f>CONCATENATE('CORE  2019'!C666," ", 'CORE  2019'!E666)</f>
        <v xml:space="preserve"> </v>
      </c>
    </row>
    <row r="661" spans="7:7">
      <c r="G661" s="153" t="str">
        <f>CONCATENATE('CORE  2019'!C667," ", 'CORE  2019'!E667)</f>
        <v xml:space="preserve"> </v>
      </c>
    </row>
    <row r="662" spans="7:7">
      <c r="G662" s="153" t="str">
        <f>CONCATENATE('CORE  2019'!C668," ", 'CORE  2019'!E668)</f>
        <v xml:space="preserve"> </v>
      </c>
    </row>
    <row r="663" spans="7:7">
      <c r="G663" s="153" t="str">
        <f>CONCATENATE('CORE  2019'!C669," ", 'CORE  2019'!E669)</f>
        <v xml:space="preserve"> </v>
      </c>
    </row>
    <row r="664" spans="7:7">
      <c r="G664" s="153" t="str">
        <f>CONCATENATE('CORE  2019'!C670," ", 'CORE  2019'!E670)</f>
        <v xml:space="preserve"> </v>
      </c>
    </row>
    <row r="665" spans="7:7">
      <c r="G665" s="153" t="str">
        <f>CONCATENATE('CORE  2019'!C671," ", 'CORE  2019'!E671)</f>
        <v xml:space="preserve"> </v>
      </c>
    </row>
    <row r="666" spans="7:7">
      <c r="G666" s="153" t="str">
        <f>CONCATENATE('CORE  2019'!C672," ", 'CORE  2019'!E672)</f>
        <v xml:space="preserve"> </v>
      </c>
    </row>
    <row r="667" spans="7:7">
      <c r="G667" s="153" t="str">
        <f>CONCATENATE('CORE  2019'!C673," ", 'CORE  2019'!E673)</f>
        <v xml:space="preserve"> </v>
      </c>
    </row>
    <row r="668" spans="7:7">
      <c r="G668" s="153" t="str">
        <f>CONCATENATE('CORE  2019'!C674," ", 'CORE  2019'!E674)</f>
        <v xml:space="preserve"> </v>
      </c>
    </row>
    <row r="669" spans="7:7">
      <c r="G669" s="153" t="str">
        <f>CONCATENATE('CORE  2019'!C675," ", 'CORE  2019'!E675)</f>
        <v xml:space="preserve"> </v>
      </c>
    </row>
    <row r="670" spans="7:7">
      <c r="G670" s="153" t="str">
        <f>CONCATENATE('CORE  2019'!C676," ", 'CORE  2019'!E676)</f>
        <v xml:space="preserve"> </v>
      </c>
    </row>
    <row r="671" spans="7:7">
      <c r="G671" s="153" t="str">
        <f>CONCATENATE('CORE  2019'!C677," ", 'CORE  2019'!E677)</f>
        <v xml:space="preserve"> </v>
      </c>
    </row>
    <row r="672" spans="7:7">
      <c r="G672" s="153" t="str">
        <f>CONCATENATE('CORE  2019'!C678," ", 'CORE  2019'!E678)</f>
        <v xml:space="preserve"> </v>
      </c>
    </row>
    <row r="673" spans="7:7">
      <c r="G673" s="153" t="str">
        <f>CONCATENATE('CORE  2019'!C679," ", 'CORE  2019'!E679)</f>
        <v xml:space="preserve"> </v>
      </c>
    </row>
    <row r="674" spans="7:7">
      <c r="G674" s="153" t="str">
        <f>CONCATENATE('CORE  2019'!C680," ", 'CORE  2019'!E680)</f>
        <v xml:space="preserve"> </v>
      </c>
    </row>
    <row r="675" spans="7:7">
      <c r="G675" s="153" t="str">
        <f>CONCATENATE('CORE  2019'!C681," ", 'CORE  2019'!E681)</f>
        <v xml:space="preserve"> </v>
      </c>
    </row>
    <row r="676" spans="7:7">
      <c r="G676" s="153" t="str">
        <f>CONCATENATE('CORE  2019'!C682," ", 'CORE  2019'!E682)</f>
        <v xml:space="preserve"> </v>
      </c>
    </row>
    <row r="677" spans="7:7">
      <c r="G677" s="153" t="str">
        <f>CONCATENATE('CORE  2019'!C683," ", 'CORE  2019'!E683)</f>
        <v xml:space="preserve"> </v>
      </c>
    </row>
    <row r="678" spans="7:7">
      <c r="G678" s="153" t="str">
        <f>CONCATENATE('CORE  2019'!C684," ", 'CORE  2019'!E684)</f>
        <v xml:space="preserve"> </v>
      </c>
    </row>
    <row r="679" spans="7:7">
      <c r="G679" s="153" t="str">
        <f>CONCATENATE('CORE  2019'!C685," ", 'CORE  2019'!E685)</f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CORE  2019</vt:lpstr>
      <vt:lpstr>Sheet2</vt:lpstr>
      <vt:lpstr>US accounting  2019</vt:lpstr>
      <vt:lpstr>JPO staff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Nessi</dc:creator>
  <cp:lastModifiedBy>Jack Fowler</cp:lastModifiedBy>
  <cp:lastPrinted>2019-11-11T20:33:14Z</cp:lastPrinted>
  <dcterms:created xsi:type="dcterms:W3CDTF">2019-08-07T12:30:47Z</dcterms:created>
  <dcterms:modified xsi:type="dcterms:W3CDTF">2019-11-11T20:33:17Z</dcterms:modified>
</cp:coreProperties>
</file>