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chellma/Dropbox/DUNE-computing/Numbers/"/>
    </mc:Choice>
  </mc:AlternateContent>
  <xr:revisionPtr revIDLastSave="0" documentId="13_ncr:1_{DD497DC7-8D04-8248-AFF1-BCC54C72A635}" xr6:coauthVersionLast="36" xr6:coauthVersionMax="45" xr10:uidLastSave="{00000000-0000-0000-0000-000000000000}"/>
  <bookViews>
    <workbookView xWindow="0" yWindow="460" windowWidth="25600" windowHeight="13100" tabRatio="500" activeTab="10" xr2:uid="{00000000-000D-0000-FFFF-FFFF00000000}"/>
  </bookViews>
  <sheets>
    <sheet name="SP-2018-run" sheetId="1" r:id="rId1"/>
    <sheet name="SP-2019-run" sheetId="5" r:id="rId2"/>
    <sheet name="DP-2019-run" sheetId="7" r:id="rId3"/>
    <sheet name="SP-2020-run" sheetId="4" r:id="rId4"/>
    <sheet name="DP-2020-run" sheetId="8" r:id="rId5"/>
    <sheet name="SP-2021-run" sheetId="6" r:id="rId6"/>
    <sheet name="DP-2021-run" sheetId="9" r:id="rId7"/>
    <sheet name="SP-2022-run" sheetId="14" r:id="rId8"/>
    <sheet name="DP-2022-run" sheetId="15" r:id="rId9"/>
    <sheet name="Summary" sheetId="10" r:id="rId10"/>
    <sheet name="BIGDUNE" sheetId="12" r:id="rId11"/>
    <sheet name="Supernova" sheetId="13" r:id="rId12"/>
    <sheet name="MCC11" sheetId="11" r:id="rId13"/>
  </sheets>
  <calcPr calcId="181029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0" l="1"/>
  <c r="E17" i="10"/>
  <c r="F17" i="10"/>
  <c r="G17" i="10"/>
  <c r="C17" i="10"/>
  <c r="G11" i="10"/>
  <c r="G10" i="10"/>
  <c r="G16" i="10" s="1"/>
  <c r="G9" i="10"/>
  <c r="G8" i="10"/>
  <c r="G6" i="10"/>
  <c r="G5" i="10"/>
  <c r="G4" i="10"/>
  <c r="G15" i="10" s="1"/>
  <c r="G18" i="10" s="1"/>
  <c r="G3" i="10"/>
  <c r="G14" i="10" s="1"/>
  <c r="C34" i="15"/>
  <c r="C16" i="15"/>
  <c r="C7" i="15"/>
  <c r="C8" i="15" s="1"/>
  <c r="C16" i="14"/>
  <c r="C7" i="14"/>
  <c r="C8" i="14" s="1"/>
  <c r="C3" i="14"/>
  <c r="C34" i="7"/>
  <c r="C35" i="7"/>
  <c r="C36" i="7" s="1"/>
  <c r="C3" i="4"/>
  <c r="C8" i="4"/>
  <c r="C9" i="4"/>
  <c r="C12" i="4" s="1"/>
  <c r="C17" i="4" s="1"/>
  <c r="C5" i="4" s="1"/>
  <c r="C16" i="4"/>
  <c r="C9" i="15" l="1"/>
  <c r="C9" i="14"/>
  <c r="C12" i="14" s="1"/>
  <c r="C17" i="14" s="1"/>
  <c r="C5" i="14" s="1"/>
  <c r="C37" i="14" s="1"/>
  <c r="C38" i="14" s="1"/>
  <c r="C34" i="14"/>
  <c r="C35" i="14"/>
  <c r="C36" i="14" s="1"/>
  <c r="C13" i="12"/>
  <c r="C37" i="8"/>
  <c r="C37" i="4"/>
  <c r="C37" i="5"/>
  <c r="C37" i="1"/>
  <c r="C23" i="12"/>
  <c r="C16" i="10"/>
  <c r="D5" i="10"/>
  <c r="C5" i="10"/>
  <c r="N4" i="7"/>
  <c r="C35" i="15" l="1"/>
  <c r="C36" i="15" s="1"/>
  <c r="C12" i="15"/>
  <c r="C17" i="15" s="1"/>
  <c r="C5" i="15" s="1"/>
  <c r="C28" i="14"/>
  <c r="C29" i="14" s="1"/>
  <c r="C3" i="6"/>
  <c r="C3" i="5"/>
  <c r="J3" i="5" s="1"/>
  <c r="C3" i="1"/>
  <c r="C28" i="15" l="1"/>
  <c r="C29" i="15" s="1"/>
  <c r="C37" i="15"/>
  <c r="C38" i="15" s="1"/>
  <c r="C30" i="14"/>
  <c r="C31" i="14" s="1"/>
  <c r="C32" i="14" s="1"/>
  <c r="C34" i="5"/>
  <c r="C34" i="1"/>
  <c r="C3" i="13"/>
  <c r="C23" i="13" s="1"/>
  <c r="C6" i="13"/>
  <c r="C9" i="13" s="1"/>
  <c r="C12" i="13" s="1"/>
  <c r="C3" i="12"/>
  <c r="C16" i="13"/>
  <c r="C8" i="13"/>
  <c r="C16" i="12"/>
  <c r="C12" i="12"/>
  <c r="C8" i="12"/>
  <c r="C34" i="6"/>
  <c r="C34" i="4"/>
  <c r="C30" i="15" l="1"/>
  <c r="C31" i="15" s="1"/>
  <c r="C32" i="15" s="1"/>
  <c r="C17" i="13"/>
  <c r="C5" i="13" s="1"/>
  <c r="C37" i="13"/>
  <c r="C38" i="13" s="1"/>
  <c r="C35" i="13"/>
  <c r="C36" i="13" s="1"/>
  <c r="C34" i="13"/>
  <c r="C28" i="13"/>
  <c r="C29" i="13" s="1"/>
  <c r="C17" i="12"/>
  <c r="C5" i="12" s="1"/>
  <c r="C35" i="12"/>
  <c r="C36" i="12" s="1"/>
  <c r="C34" i="12"/>
  <c r="C37" i="12" l="1"/>
  <c r="H6" i="10" s="1"/>
  <c r="H17" i="10" s="1"/>
  <c r="H3" i="10"/>
  <c r="H14" i="10" s="1"/>
  <c r="E40" i="12"/>
  <c r="C28" i="12"/>
  <c r="C29" i="12" s="1"/>
  <c r="H4" i="10" s="1"/>
  <c r="H15" i="10" s="1"/>
  <c r="C30" i="13"/>
  <c r="C31" i="13" s="1"/>
  <c r="C32" i="13" s="1"/>
  <c r="C34" i="9"/>
  <c r="C16" i="9"/>
  <c r="C7" i="9"/>
  <c r="C9" i="9" s="1"/>
  <c r="C34" i="8"/>
  <c r="C16" i="8"/>
  <c r="C7" i="8"/>
  <c r="C9" i="8" s="1"/>
  <c r="C16" i="7"/>
  <c r="C7" i="7"/>
  <c r="C9" i="7" s="1"/>
  <c r="C30" i="12" l="1"/>
  <c r="C31" i="12" s="1"/>
  <c r="C32" i="12"/>
  <c r="H5" i="10"/>
  <c r="H16" i="10" s="1"/>
  <c r="H18" i="10" s="1"/>
  <c r="C38" i="12"/>
  <c r="C12" i="7"/>
  <c r="C12" i="9"/>
  <c r="C17" i="9" s="1"/>
  <c r="C5" i="9" s="1"/>
  <c r="C35" i="9"/>
  <c r="C36" i="9" s="1"/>
  <c r="C8" i="9"/>
  <c r="C12" i="8"/>
  <c r="C17" i="8" s="1"/>
  <c r="C5" i="8" s="1"/>
  <c r="E8" i="10" s="1"/>
  <c r="C35" i="8"/>
  <c r="C36" i="8" s="1"/>
  <c r="C8" i="8"/>
  <c r="C17" i="7"/>
  <c r="C5" i="7" s="1"/>
  <c r="C8" i="7"/>
  <c r="C16" i="6"/>
  <c r="C7" i="6"/>
  <c r="C9" i="6" s="1"/>
  <c r="F8" i="10" l="1"/>
  <c r="C37" i="9"/>
  <c r="D9" i="10"/>
  <c r="C37" i="7"/>
  <c r="C38" i="7" s="1"/>
  <c r="C28" i="7"/>
  <c r="C29" i="7" s="1"/>
  <c r="C35" i="4"/>
  <c r="C36" i="4" s="1"/>
  <c r="C12" i="6"/>
  <c r="C17" i="6" s="1"/>
  <c r="C5" i="6" s="1"/>
  <c r="C37" i="6" s="1"/>
  <c r="C35" i="6"/>
  <c r="C36" i="6" s="1"/>
  <c r="D8" i="10"/>
  <c r="C28" i="9"/>
  <c r="C29" i="9" s="1"/>
  <c r="F9" i="10" s="1"/>
  <c r="C28" i="8"/>
  <c r="C29" i="8" s="1"/>
  <c r="E9" i="10" s="1"/>
  <c r="C8" i="6"/>
  <c r="C28" i="4"/>
  <c r="C29" i="4" s="1"/>
  <c r="E4" i="10" s="1"/>
  <c r="F3" i="10" l="1"/>
  <c r="C28" i="6"/>
  <c r="C29" i="6" s="1"/>
  <c r="F4" i="10" s="1"/>
  <c r="C30" i="7"/>
  <c r="C31" i="7" s="1"/>
  <c r="C32" i="7"/>
  <c r="E15" i="10"/>
  <c r="C38" i="8"/>
  <c r="E11" i="10"/>
  <c r="C38" i="9"/>
  <c r="F11" i="10"/>
  <c r="D10" i="10"/>
  <c r="D16" i="10" s="1"/>
  <c r="D11" i="10"/>
  <c r="C38" i="6"/>
  <c r="F6" i="10"/>
  <c r="E3" i="10"/>
  <c r="E14" i="10" s="1"/>
  <c r="C30" i="9"/>
  <c r="C31" i="9" s="1"/>
  <c r="C30" i="8"/>
  <c r="C31" i="8" s="1"/>
  <c r="C30" i="6"/>
  <c r="C31" i="6" s="1"/>
  <c r="F5" i="10" s="1"/>
  <c r="C30" i="4"/>
  <c r="C31" i="4" s="1"/>
  <c r="E5" i="10" s="1"/>
  <c r="F15" i="10" l="1"/>
  <c r="F14" i="10"/>
  <c r="C32" i="9"/>
  <c r="F10" i="10"/>
  <c r="C32" i="8"/>
  <c r="E10" i="10"/>
  <c r="E16" i="10" s="1"/>
  <c r="C32" i="6"/>
  <c r="C38" i="4"/>
  <c r="E6" i="10"/>
  <c r="C32" i="4"/>
  <c r="C16" i="5"/>
  <c r="C9" i="5"/>
  <c r="F16" i="10" l="1"/>
  <c r="E18" i="10"/>
  <c r="C12" i="5"/>
  <c r="C35" i="5"/>
  <c r="C36" i="5" s="1"/>
  <c r="C17" i="5"/>
  <c r="C5" i="5" s="1"/>
  <c r="C8" i="5"/>
  <c r="F18" i="10" l="1"/>
  <c r="D3" i="10"/>
  <c r="D14" i="10" s="1"/>
  <c r="C28" i="5"/>
  <c r="C29" i="5" s="1"/>
  <c r="D4" i="10" s="1"/>
  <c r="D15" i="10" s="1"/>
  <c r="C30" i="5" l="1"/>
  <c r="C31" i="5" s="1"/>
  <c r="D18" i="10" s="1"/>
  <c r="C38" i="5"/>
  <c r="D6" i="10"/>
  <c r="C16" i="1"/>
  <c r="C32" i="5" l="1"/>
  <c r="C7" i="1"/>
  <c r="C8" i="1" l="1"/>
  <c r="C9" i="1"/>
  <c r="C12" i="1" l="1"/>
  <c r="C17" i="1" s="1"/>
  <c r="C4" i="1" s="1"/>
  <c r="C3" i="10" s="1"/>
  <c r="C14" i="10" s="1"/>
  <c r="C35" i="1"/>
  <c r="C36" i="1" s="1"/>
  <c r="C6" i="10" l="1"/>
  <c r="C28" i="1"/>
  <c r="C29" i="1" s="1"/>
  <c r="C4" i="10" s="1"/>
  <c r="C15" i="10" s="1"/>
  <c r="C38" i="1" l="1"/>
  <c r="C30" i="1"/>
  <c r="C31" i="1" s="1"/>
  <c r="C18" i="10" s="1"/>
  <c r="C32" i="1" l="1"/>
</calcChain>
</file>

<file path=xl/sharedStrings.xml><?xml version="1.0" encoding="utf-8"?>
<sst xmlns="http://schemas.openxmlformats.org/spreadsheetml/2006/main" count="982" uniqueCount="110">
  <si>
    <t xml:space="preserve"> </t>
  </si>
  <si>
    <t>Change these</t>
  </si>
  <si>
    <t>MB</t>
  </si>
  <si>
    <t>million</t>
  </si>
  <si>
    <t>Compression Factor</t>
  </si>
  <si>
    <t>reco time/event</t>
  </si>
  <si>
    <t>min</t>
  </si>
  <si>
    <t>Filtering Factor</t>
  </si>
  <si>
    <t>Processing Expansion Factor</t>
  </si>
  <si>
    <t>Event Size un-compressed</t>
  </si>
  <si>
    <t>Event rate (peak)</t>
  </si>
  <si>
    <t>Total Triggers</t>
  </si>
  <si>
    <t>Results</t>
  </si>
  <si>
    <t>Total uncompressed size</t>
  </si>
  <si>
    <t>TB</t>
  </si>
  <si>
    <t>Total compressed and filtered</t>
  </si>
  <si>
    <t>Total processed</t>
  </si>
  <si>
    <t>Total processing time in Mhrs</t>
  </si>
  <si>
    <t>M-hours</t>
  </si>
  <si>
    <t>Hz</t>
  </si>
  <si>
    <t>Tier-0</t>
  </si>
  <si>
    <t>Type</t>
  </si>
  <si>
    <t>MB/sec</t>
  </si>
  <si>
    <t>Peak data rate</t>
  </si>
  <si>
    <t>Average data rate</t>
  </si>
  <si>
    <t>days</t>
  </si>
  <si>
    <t>Event rate with beam on</t>
  </si>
  <si>
    <t>DC rate during data taking, DAQ must handle this</t>
  </si>
  <si>
    <t xml:space="preserve">Is the detector/beam up? </t>
  </si>
  <si>
    <t>Reduction in events from raw to processed data</t>
  </si>
  <si>
    <t>How many times is the data going to expand in processing</t>
  </si>
  <si>
    <t>compsize*peakrate</t>
  </si>
  <si>
    <t>compsize*dcrate</t>
  </si>
  <si>
    <t>comp/filter</t>
  </si>
  <si>
    <t>uncom/factor</t>
  </si>
  <si>
    <t>source</t>
  </si>
  <si>
    <t>filtered*expansion</t>
  </si>
  <si>
    <t xml:space="preserve">Total raw + processed </t>
  </si>
  <si>
    <t>Raw Data</t>
  </si>
  <si>
    <t>Processing</t>
  </si>
  <si>
    <t>Total compressed raw data size</t>
  </si>
  <si>
    <t>compressed + filtered*expansion</t>
  </si>
  <si>
    <t>writing to disk in ehn1</t>
  </si>
  <si>
    <t>size of 3 days</t>
  </si>
  <si>
    <t>average rate * duty factor * sectodays*MB to TB</t>
  </si>
  <si>
    <t>CPU Location</t>
  </si>
  <si>
    <t>Data Location</t>
  </si>
  <si>
    <t>includes commissioning and cosmics</t>
  </si>
  <si>
    <t>triggers*recotime/filter*(number of times processed)</t>
  </si>
  <si>
    <t>Beam fraction</t>
  </si>
  <si>
    <t>update for 32 sec cycle, 2 4.5 sec spills</t>
  </si>
  <si>
    <t>Cosmic rate</t>
  </si>
  <si>
    <t>non-beam fraction</t>
  </si>
  <si>
    <t>event rate check</t>
  </si>
  <si>
    <t>calculated from above</t>
  </si>
  <si>
    <t>20% overhead</t>
  </si>
  <si>
    <t>K-years</t>
  </si>
  <si>
    <t>Beam run time in days</t>
  </si>
  <si>
    <t>Cosmic Run time in days</t>
  </si>
  <si>
    <t>Beam Event rate (DC)</t>
  </si>
  <si>
    <t>Cosmic events</t>
  </si>
  <si>
    <t>Cosmic Uptime fraction</t>
  </si>
  <si>
    <t>Beam uptime fraction</t>
  </si>
  <si>
    <t>Total Beam triggers</t>
  </si>
  <si>
    <t>(7.8 from samweb - average uptime and rate adjusted to get this #)</t>
  </si>
  <si>
    <t xml:space="preserve">includes commissioning </t>
  </si>
  <si>
    <t>time and rate adjusted to get # of events</t>
  </si>
  <si>
    <t xml:space="preserve">SP-2018-run </t>
  </si>
  <si>
    <t xml:space="preserve">SP-2019-run </t>
  </si>
  <si>
    <t>SP</t>
  </si>
  <si>
    <t xml:space="preserve">SP-2020-run </t>
  </si>
  <si>
    <t xml:space="preserve">SP-2021-run </t>
  </si>
  <si>
    <t xml:space="preserve">DP-2019-run </t>
  </si>
  <si>
    <t xml:space="preserve">DP-2020-run </t>
  </si>
  <si>
    <t>DP</t>
  </si>
  <si>
    <t xml:space="preserve">DP-2021-run </t>
  </si>
  <si>
    <t>asbuilt</t>
  </si>
  <si>
    <t>Raw data, TB</t>
  </si>
  <si>
    <t>Reco data, TB</t>
  </si>
  <si>
    <t>CPU, MH</t>
  </si>
  <si>
    <t>total</t>
  </si>
  <si>
    <t>Simulation</t>
  </si>
  <si>
    <t>Events, M</t>
  </si>
  <si>
    <t>reconstructed, TB</t>
  </si>
  <si>
    <t>simulated, TB</t>
  </si>
  <si>
    <t>MCC11</t>
  </si>
  <si>
    <t>sim</t>
  </si>
  <si>
    <t>Event rate (beam on)</t>
  </si>
  <si>
    <t>Readout window</t>
  </si>
  <si>
    <t>ms</t>
  </si>
  <si>
    <t>BIG DUNE 1 module</t>
  </si>
  <si>
    <t>cosmics + beam triggers</t>
  </si>
  <si>
    <t>Supernova 4 module</t>
  </si>
  <si>
    <t>Assume 1/month</t>
  </si>
  <si>
    <t xml:space="preserve">scale with event size… </t>
  </si>
  <si>
    <t>GB</t>
  </si>
  <si>
    <t>GB/sec</t>
  </si>
  <si>
    <t>PB</t>
  </si>
  <si>
    <t>2x</t>
  </si>
  <si>
    <t>adjust to get observed average event size</t>
  </si>
  <si>
    <t>adjust to reproduce observed # of events</t>
  </si>
  <si>
    <t>Sept/Oct</t>
  </si>
  <si>
    <t>take 1/100 beam events</t>
  </si>
  <si>
    <t>3 sec/MB processing time for dataprep</t>
  </si>
  <si>
    <t>BIGDUNE</t>
  </si>
  <si>
    <t xml:space="preserve">DP-2022-run </t>
  </si>
  <si>
    <t xml:space="preserve">SP-2022-run </t>
  </si>
  <si>
    <t xml:space="preserve">CPU, MH x2 </t>
  </si>
  <si>
    <t>total storage</t>
  </si>
  <si>
    <t>CPU for 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</si>
</sst>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charset val="204"/>
      <scheme val="minor"/>
    </font>
    <font>
      <sz val="12"/>
      <color rgb="FF0061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61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164" fontId="5" fillId="2" borderId="0" xfId="1" applyNumberFormat="1" applyFont="1"/>
    <xf numFmtId="2" fontId="4" fillId="0" borderId="0" xfId="0" applyNumberFormat="1" applyFont="1"/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Font="1"/>
    <xf numFmtId="2" fontId="5" fillId="2" borderId="0" xfId="1" applyNumberFormat="1" applyFont="1"/>
    <xf numFmtId="164" fontId="7" fillId="2" borderId="0" xfId="1" applyNumberFormat="1" applyFont="1"/>
    <xf numFmtId="164" fontId="4" fillId="0" borderId="0" xfId="0" applyNumberFormat="1" applyFont="1"/>
    <xf numFmtId="2" fontId="5" fillId="0" borderId="0" xfId="1" applyNumberFormat="1" applyFont="1" applyFill="1"/>
    <xf numFmtId="164" fontId="4" fillId="0" borderId="0" xfId="1" applyNumberFormat="1" applyFont="1" applyFill="1"/>
    <xf numFmtId="164" fontId="5" fillId="0" borderId="0" xfId="1" applyNumberFormat="1" applyFont="1" applyFill="1"/>
    <xf numFmtId="0" fontId="9" fillId="0" borderId="0" xfId="0" applyFont="1"/>
    <xf numFmtId="164" fontId="0" fillId="0" borderId="0" xfId="0" applyNumberFormat="1"/>
    <xf numFmtId="1" fontId="8" fillId="0" borderId="0" xfId="0" applyNumberFormat="1" applyFont="1"/>
    <xf numFmtId="164" fontId="1" fillId="2" borderId="0" xfId="1" applyNumberFormat="1"/>
    <xf numFmtId="11" fontId="5" fillId="2" borderId="0" xfId="1" applyNumberFormat="1" applyFont="1"/>
    <xf numFmtId="11" fontId="6" fillId="0" borderId="0" xfId="0" applyNumberFormat="1" applyFont="1"/>
    <xf numFmtId="11" fontId="1" fillId="2" borderId="0" xfId="1" applyNumberFormat="1"/>
    <xf numFmtId="11" fontId="5" fillId="0" borderId="0" xfId="1" applyNumberFormat="1" applyFont="1" applyFill="1"/>
    <xf numFmtId="11" fontId="4" fillId="0" borderId="0" xfId="1" applyNumberFormat="1" applyFont="1" applyFill="1"/>
    <xf numFmtId="11" fontId="7" fillId="2" borderId="0" xfId="1" applyNumberFormat="1" applyFont="1"/>
    <xf numFmtId="11" fontId="4" fillId="0" borderId="0" xfId="0" applyNumberFormat="1" applyFont="1"/>
    <xf numFmtId="11" fontId="0" fillId="0" borderId="0" xfId="0" applyNumberFormat="1"/>
    <xf numFmtId="1" fontId="0" fillId="0" borderId="0" xfId="0" applyNumberFormat="1"/>
    <xf numFmtId="0" fontId="10" fillId="0" borderId="0" xfId="0" applyFont="1"/>
    <xf numFmtId="2" fontId="7" fillId="2" borderId="0" xfId="1" applyNumberFormat="1" applyFont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opLeftCell="A34" zoomScale="90" zoomScaleNormal="90" workbookViewId="0">
      <selection activeCell="C38" sqref="C38"/>
    </sheetView>
  </sheetViews>
  <sheetFormatPr baseColWidth="10" defaultRowHeight="24"/>
  <cols>
    <col min="1" max="1" width="14.66406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>
      <c r="A1" s="1" t="s">
        <v>0</v>
      </c>
      <c r="B1" s="1" t="s">
        <v>0</v>
      </c>
      <c r="C1" s="2" t="s">
        <v>1</v>
      </c>
      <c r="D1" s="3"/>
    </row>
    <row r="2" spans="1:10">
      <c r="A2" s="4" t="s">
        <v>21</v>
      </c>
      <c r="B2" s="4" t="s">
        <v>67</v>
      </c>
      <c r="C2" s="5" t="s">
        <v>0</v>
      </c>
      <c r="D2" s="6"/>
      <c r="E2" s="1" t="s">
        <v>35</v>
      </c>
    </row>
    <row r="3" spans="1:10">
      <c r="A3" s="4" t="s">
        <v>38</v>
      </c>
      <c r="B3" s="1" t="s">
        <v>9</v>
      </c>
      <c r="C3" s="2">
        <f>230.4*C5/5*1.25</f>
        <v>172.8</v>
      </c>
      <c r="D3" s="3" t="s">
        <v>2</v>
      </c>
      <c r="E3" s="1" t="s">
        <v>55</v>
      </c>
    </row>
    <row r="4" spans="1:10" hidden="1">
      <c r="B4" s="1" t="s">
        <v>11</v>
      </c>
      <c r="C4" s="13">
        <f>C17</f>
        <v>10.860479999999999</v>
      </c>
      <c r="D4" s="3" t="s">
        <v>3</v>
      </c>
      <c r="E4" s="1" t="s">
        <v>47</v>
      </c>
      <c r="H4" s="7"/>
    </row>
    <row r="5" spans="1:10">
      <c r="B5" s="1" t="s">
        <v>88</v>
      </c>
      <c r="C5" s="2">
        <v>3</v>
      </c>
      <c r="D5" s="3" t="s">
        <v>89</v>
      </c>
      <c r="H5" s="7"/>
    </row>
    <row r="6" spans="1:10">
      <c r="B6" s="1" t="s">
        <v>87</v>
      </c>
      <c r="C6" s="2">
        <v>16</v>
      </c>
      <c r="D6" s="3" t="s">
        <v>19</v>
      </c>
      <c r="E6" s="1" t="s">
        <v>26</v>
      </c>
    </row>
    <row r="7" spans="1:10">
      <c r="B7" s="1" t="s">
        <v>49</v>
      </c>
      <c r="C7" s="8">
        <f>2*4.5/32</f>
        <v>0.28125</v>
      </c>
      <c r="D7" s="3"/>
      <c r="E7" s="1" t="s">
        <v>50</v>
      </c>
    </row>
    <row r="8" spans="1:10">
      <c r="B8" s="1" t="s">
        <v>52</v>
      </c>
      <c r="C8" s="11">
        <f>1-C7</f>
        <v>0.71875</v>
      </c>
      <c r="D8" s="3"/>
    </row>
    <row r="9" spans="1:10">
      <c r="B9" s="1" t="s">
        <v>59</v>
      </c>
      <c r="C9" s="12">
        <f>C7*C6</f>
        <v>4.5</v>
      </c>
      <c r="D9" s="3" t="s">
        <v>19</v>
      </c>
      <c r="E9" s="1" t="s">
        <v>27</v>
      </c>
      <c r="I9" s="7"/>
      <c r="J9" s="7"/>
    </row>
    <row r="10" spans="1:10">
      <c r="B10" s="1" t="s">
        <v>57</v>
      </c>
      <c r="C10" s="2">
        <v>28</v>
      </c>
      <c r="D10" s="3" t="s">
        <v>25</v>
      </c>
      <c r="I10" s="7"/>
      <c r="J10" s="7"/>
    </row>
    <row r="11" spans="1:10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>
      <c r="B12" s="1" t="s">
        <v>63</v>
      </c>
      <c r="C12" s="13">
        <f>C$9*C$10*C$11*3600*24/10^6</f>
        <v>7.6204799999999979</v>
      </c>
      <c r="D12" s="3" t="s">
        <v>3</v>
      </c>
      <c r="E12" s="1" t="s">
        <v>64</v>
      </c>
      <c r="I12" s="7"/>
      <c r="J12" s="7"/>
    </row>
    <row r="13" spans="1:10">
      <c r="B13" s="1" t="s">
        <v>51</v>
      </c>
      <c r="C13" s="8">
        <v>1</v>
      </c>
      <c r="D13" s="3" t="s">
        <v>19</v>
      </c>
      <c r="E13" s="1" t="s">
        <v>65</v>
      </c>
    </row>
    <row r="14" spans="1:10">
      <c r="B14" s="1" t="s">
        <v>58</v>
      </c>
      <c r="C14" s="2">
        <v>75</v>
      </c>
      <c r="D14" s="3" t="s">
        <v>25</v>
      </c>
      <c r="H14" s="7"/>
    </row>
    <row r="15" spans="1:10">
      <c r="B15" s="1" t="s">
        <v>61</v>
      </c>
      <c r="C15" s="2">
        <v>0.5</v>
      </c>
      <c r="D15" s="3"/>
      <c r="E15" s="1" t="s">
        <v>28</v>
      </c>
      <c r="H15" s="7"/>
    </row>
    <row r="16" spans="1:10">
      <c r="B16" s="1" t="s">
        <v>60</v>
      </c>
      <c r="C16" s="13">
        <f>C$14*C$15*C$13*3600*24/10^6</f>
        <v>3.24</v>
      </c>
      <c r="D16" s="3" t="s">
        <v>3</v>
      </c>
      <c r="E16" s="1" t="s">
        <v>66</v>
      </c>
      <c r="H16" s="7"/>
    </row>
    <row r="17" spans="1:10">
      <c r="B17" s="1" t="s">
        <v>53</v>
      </c>
      <c r="C17" s="13">
        <f>C$12+C$16</f>
        <v>10.860479999999999</v>
      </c>
      <c r="D17" s="3" t="s">
        <v>3</v>
      </c>
      <c r="E17" s="1" t="s">
        <v>54</v>
      </c>
      <c r="H17" s="7"/>
    </row>
    <row r="18" spans="1:10">
      <c r="B18" s="1" t="s">
        <v>4</v>
      </c>
      <c r="C18" s="2">
        <v>2.5</v>
      </c>
      <c r="D18" s="3" t="s">
        <v>0</v>
      </c>
    </row>
    <row r="19" spans="1:10" hidden="1">
      <c r="A19" s="4" t="s">
        <v>39</v>
      </c>
      <c r="C19" s="2"/>
      <c r="D19" s="3"/>
    </row>
    <row r="20" spans="1:10">
      <c r="A20" s="4" t="s">
        <v>39</v>
      </c>
      <c r="B20" s="1" t="s">
        <v>7</v>
      </c>
      <c r="C20" s="9">
        <v>1</v>
      </c>
      <c r="D20" s="3"/>
      <c r="E20" s="1" t="s">
        <v>29</v>
      </c>
      <c r="I20" s="7"/>
    </row>
    <row r="21" spans="1:10">
      <c r="B21" s="1" t="s">
        <v>8</v>
      </c>
      <c r="C21" s="9">
        <v>2</v>
      </c>
      <c r="D21" s="3"/>
      <c r="E21" s="1" t="s">
        <v>30</v>
      </c>
      <c r="J21" s="7"/>
    </row>
    <row r="22" spans="1:10" hidden="1">
      <c r="C22" s="2"/>
      <c r="D22" s="3"/>
    </row>
    <row r="23" spans="1:10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>
      <c r="C24" s="2"/>
      <c r="D24" s="3"/>
    </row>
    <row r="25" spans="1:10" hidden="1">
      <c r="A25" s="4" t="s">
        <v>45</v>
      </c>
      <c r="B25" s="1" t="s">
        <v>20</v>
      </c>
    </row>
    <row r="26" spans="1:10" hidden="1">
      <c r="A26" s="4" t="s">
        <v>46</v>
      </c>
    </row>
    <row r="27" spans="1:10" hidden="1">
      <c r="A27" s="4" t="s">
        <v>12</v>
      </c>
    </row>
    <row r="28" spans="1:10">
      <c r="A28" s="4" t="s">
        <v>12</v>
      </c>
      <c r="B28" s="1" t="s">
        <v>13</v>
      </c>
      <c r="C28" s="10">
        <f>C3*C4</f>
        <v>1876.6909439999999</v>
      </c>
      <c r="D28" s="1" t="s">
        <v>14</v>
      </c>
    </row>
    <row r="29" spans="1:10">
      <c r="B29" s="1" t="s">
        <v>40</v>
      </c>
      <c r="C29" s="10">
        <f>C28/C18</f>
        <v>750.67637760000002</v>
      </c>
      <c r="D29" s="1" t="s">
        <v>14</v>
      </c>
      <c r="E29" s="1" t="s">
        <v>34</v>
      </c>
    </row>
    <row r="30" spans="1:10">
      <c r="B30" s="1" t="s">
        <v>15</v>
      </c>
      <c r="C30" s="10">
        <f>C29/C20</f>
        <v>750.67637760000002</v>
      </c>
      <c r="D30" s="1" t="s">
        <v>14</v>
      </c>
      <c r="E30" s="1" t="s">
        <v>33</v>
      </c>
    </row>
    <row r="31" spans="1:10">
      <c r="B31" s="1" t="s">
        <v>16</v>
      </c>
      <c r="C31" s="10">
        <f>C30*C21</f>
        <v>1501.3527552</v>
      </c>
      <c r="D31" s="1" t="s">
        <v>14</v>
      </c>
      <c r="E31" s="1" t="s">
        <v>36</v>
      </c>
    </row>
    <row r="32" spans="1:10">
      <c r="B32" s="1" t="s">
        <v>37</v>
      </c>
      <c r="C32" s="10">
        <f>C29+C31</f>
        <v>2252.0291328000003</v>
      </c>
      <c r="D32" s="1" t="s">
        <v>14</v>
      </c>
      <c r="E32" s="1" t="s">
        <v>41</v>
      </c>
    </row>
    <row r="34" spans="2:8">
      <c r="B34" s="1" t="s">
        <v>23</v>
      </c>
      <c r="C34" s="10">
        <f>C3/C18*(C6+14)</f>
        <v>2073.6000000000004</v>
      </c>
      <c r="D34" s="1" t="s">
        <v>22</v>
      </c>
      <c r="E34" s="1" t="s">
        <v>31</v>
      </c>
    </row>
    <row r="35" spans="2:8">
      <c r="B35" s="1" t="s">
        <v>24</v>
      </c>
      <c r="C35" s="10">
        <f>C3/C18*C9</f>
        <v>311.04000000000002</v>
      </c>
      <c r="D35" s="1" t="s">
        <v>22</v>
      </c>
      <c r="E35" s="1" t="s">
        <v>32</v>
      </c>
      <c r="H35" s="1" t="s">
        <v>42</v>
      </c>
    </row>
    <row r="36" spans="2:8">
      <c r="B36" s="1" t="s">
        <v>43</v>
      </c>
      <c r="C36" s="10">
        <f>C35*C15*3600*24*3/1024/1024</f>
        <v>38.443359375</v>
      </c>
      <c r="D36" s="1" t="s">
        <v>14</v>
      </c>
      <c r="E36" s="1" t="s">
        <v>44</v>
      </c>
    </row>
    <row r="37" spans="2:8">
      <c r="B37" s="1" t="s">
        <v>17</v>
      </c>
      <c r="C37" s="10">
        <f>C4*C23/C20/60</f>
        <v>1.8100799999999997</v>
      </c>
      <c r="D37" s="1" t="s">
        <v>18</v>
      </c>
      <c r="E37" s="1" t="s">
        <v>48</v>
      </c>
    </row>
    <row r="38" spans="2:8">
      <c r="C38" s="10">
        <f>C37/365/24*1000</f>
        <v>0.20663013698630131</v>
      </c>
      <c r="D38" s="1" t="s">
        <v>56</v>
      </c>
    </row>
  </sheetData>
  <dataValidations count="1">
    <dataValidation type="list" allowBlank="1" showInputMessage="1" showErrorMessage="1" sqref="B25" xr:uid="{00000000-0002-0000-0000-000000000000}">
      <formula1>#REF!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1BDE-0AE9-8843-9601-B0FAA985C704}">
  <dimension ref="A1:H21"/>
  <sheetViews>
    <sheetView workbookViewId="0">
      <selection activeCell="C21" sqref="C21"/>
    </sheetView>
  </sheetViews>
  <sheetFormatPr baseColWidth="10" defaultRowHeight="16"/>
  <cols>
    <col min="1" max="1" width="5" bestFit="1" customWidth="1"/>
    <col min="2" max="2" width="12.5" bestFit="1" customWidth="1"/>
    <col min="3" max="3" width="6.6640625" bestFit="1" customWidth="1"/>
    <col min="4" max="4" width="7.6640625" bestFit="1" customWidth="1"/>
    <col min="5" max="5" width="6.6640625" bestFit="1" customWidth="1"/>
    <col min="6" max="7" width="7.6640625" bestFit="1" customWidth="1"/>
  </cols>
  <sheetData>
    <row r="1" spans="1:8">
      <c r="A1" s="15"/>
      <c r="B1" s="15"/>
      <c r="C1" s="16">
        <v>2018</v>
      </c>
      <c r="D1" s="16">
        <v>2019</v>
      </c>
      <c r="E1" s="16">
        <v>2020</v>
      </c>
      <c r="F1" s="16">
        <v>2021</v>
      </c>
      <c r="G1" s="16">
        <v>2022</v>
      </c>
      <c r="H1" t="s">
        <v>104</v>
      </c>
    </row>
    <row r="2" spans="1:8">
      <c r="A2" s="15"/>
      <c r="B2" s="15"/>
      <c r="C2" s="16" t="s">
        <v>76</v>
      </c>
      <c r="D2" s="16"/>
      <c r="E2" s="16"/>
      <c r="F2" s="16"/>
      <c r="G2" s="16"/>
    </row>
    <row r="3" spans="1:8">
      <c r="A3" s="15" t="s">
        <v>69</v>
      </c>
      <c r="B3" s="15" t="s">
        <v>82</v>
      </c>
      <c r="C3" s="15">
        <f>'SP-2018-run'!$C$4</f>
        <v>10.860479999999999</v>
      </c>
      <c r="D3" s="15">
        <f>'SP-2019-run'!$C$5</f>
        <v>17.625600000000002</v>
      </c>
      <c r="E3" s="15">
        <f>'SP-2020-run'!$C$5</f>
        <v>6.48</v>
      </c>
      <c r="F3" s="15">
        <f>'SP-2021-run'!$C$5</f>
        <v>23.490000000000002</v>
      </c>
      <c r="G3" s="15">
        <f>'SP-2022-run'!$C$5</f>
        <v>23.490000000000002</v>
      </c>
      <c r="H3" s="15">
        <f>BIGDUNE!$C$5</f>
        <v>3.613500000000001</v>
      </c>
    </row>
    <row r="4" spans="1:8">
      <c r="A4" s="15"/>
      <c r="B4" s="15" t="s">
        <v>77</v>
      </c>
      <c r="C4" s="26">
        <f>'SP-2018-run'!$C$29</f>
        <v>750.67637760000002</v>
      </c>
      <c r="D4" s="26">
        <f>'SP-2019-run'!$C$29</f>
        <v>1087.7513142857144</v>
      </c>
      <c r="E4" s="26">
        <f>'SP-2020-run'!$C$29</f>
        <v>447.89760000000007</v>
      </c>
      <c r="F4" s="26">
        <f>'SP-2021-run'!$C$29</f>
        <v>1623.6288000000002</v>
      </c>
      <c r="G4" s="26">
        <f>'SP-2022-run'!$C$29</f>
        <v>1623.6288000000002</v>
      </c>
      <c r="H4" s="26">
        <f>BIGDUNE!$C$29</f>
        <v>8991.5443200000027</v>
      </c>
    </row>
    <row r="5" spans="1:8">
      <c r="A5" s="15"/>
      <c r="B5" s="15" t="s">
        <v>78</v>
      </c>
      <c r="C5" s="26">
        <f>'SP-2018-run'!$C$31</f>
        <v>1501.3527552</v>
      </c>
      <c r="D5" s="26">
        <f>'SP-2019-run'!$C$31</f>
        <v>358.95793371428579</v>
      </c>
      <c r="E5" s="26">
        <f>'SP-2020-run'!$C$31</f>
        <v>134.36928</v>
      </c>
      <c r="F5" s="26">
        <f>'SP-2021-run'!$C$31</f>
        <v>487.08864000000005</v>
      </c>
      <c r="G5" s="26">
        <f>'SP-2022-run'!$C$31</f>
        <v>487.08864000000005</v>
      </c>
      <c r="H5" s="26">
        <f>BIGDUNE!$C$31</f>
        <v>89.915443200000027</v>
      </c>
    </row>
    <row r="6" spans="1:8">
      <c r="A6" s="15"/>
      <c r="B6" s="15" t="s">
        <v>79</v>
      </c>
      <c r="C6" s="15">
        <f>'SP-2018-run'!$C$37</f>
        <v>1.8100799999999997</v>
      </c>
      <c r="D6" s="15">
        <f>'SP-2019-run'!$C$37</f>
        <v>2.9376000000000007</v>
      </c>
      <c r="E6" s="15">
        <f>'SP-2020-run'!$C$37</f>
        <v>1.0800000000000003</v>
      </c>
      <c r="F6" s="15">
        <f>'SP-2021-run'!$C$37</f>
        <v>3.9150000000000005</v>
      </c>
      <c r="G6" s="15">
        <f>'SP-2022-run'!$C$37</f>
        <v>3.9150000000000005</v>
      </c>
      <c r="H6" s="15">
        <f>BIGDUNE!$C$37</f>
        <v>18.732384000000007</v>
      </c>
    </row>
    <row r="7" spans="1:8">
      <c r="A7" s="15"/>
      <c r="B7" s="15"/>
      <c r="C7" s="15"/>
      <c r="D7" s="15"/>
      <c r="E7" s="15"/>
      <c r="F7" s="15"/>
      <c r="G7" s="15"/>
      <c r="H7" s="15"/>
    </row>
    <row r="8" spans="1:8">
      <c r="A8" s="15" t="s">
        <v>74</v>
      </c>
      <c r="B8" s="15" t="s">
        <v>82</v>
      </c>
      <c r="C8" s="15">
        <v>0</v>
      </c>
      <c r="D8" s="15">
        <f>'DP-2019-run'!$C$5</f>
        <v>2.5920000000000001</v>
      </c>
      <c r="E8" s="15">
        <f>'DP-2020-run'!$C$5</f>
        <v>21.6</v>
      </c>
      <c r="F8" s="15">
        <f>'DP-2021-run'!$C$5</f>
        <v>55.161000000000001</v>
      </c>
      <c r="G8" s="15">
        <f>'DP-2022-run'!$C$5</f>
        <v>55.161000000000001</v>
      </c>
      <c r="H8" s="15">
        <v>0</v>
      </c>
    </row>
    <row r="9" spans="1:8">
      <c r="A9" s="15"/>
      <c r="B9" s="15" t="s">
        <v>77</v>
      </c>
      <c r="C9" s="26">
        <v>0</v>
      </c>
      <c r="D9" s="26">
        <f>'DP-2019-run'!$C$29</f>
        <v>285.12</v>
      </c>
      <c r="E9" s="26">
        <f>'DP-2020-run'!$C$29</f>
        <v>237.6</v>
      </c>
      <c r="F9" s="26">
        <f>'DP-2021-run'!$C$29</f>
        <v>606.77099999999996</v>
      </c>
      <c r="G9" s="26">
        <f>'DP-2022-run'!$C$29</f>
        <v>606.77099999999996</v>
      </c>
      <c r="H9" s="26">
        <v>0</v>
      </c>
    </row>
    <row r="10" spans="1:8">
      <c r="A10" s="15"/>
      <c r="B10" s="15" t="s">
        <v>78</v>
      </c>
      <c r="C10" s="26">
        <v>0</v>
      </c>
      <c r="D10" s="26">
        <f>'DP-2019-run'!$C$31</f>
        <v>342.14400000000001</v>
      </c>
      <c r="E10" s="26">
        <f>'DP-2020-run'!$C$31</f>
        <v>308.88</v>
      </c>
      <c r="F10" s="26">
        <f>'DP-2021-run'!$C$31</f>
        <v>1820.3129999999999</v>
      </c>
      <c r="G10" s="26">
        <f>'DP-2022-run'!$C$31</f>
        <v>1820.3129999999999</v>
      </c>
      <c r="H10" s="26">
        <v>0</v>
      </c>
    </row>
    <row r="11" spans="1:8">
      <c r="A11" s="15"/>
      <c r="B11" s="15" t="s">
        <v>79</v>
      </c>
      <c r="C11" s="15">
        <v>0</v>
      </c>
      <c r="D11" s="15">
        <f>'DP-2019-run'!$C$37</f>
        <v>0.43200000000000005</v>
      </c>
      <c r="E11" s="15">
        <f>'DP-2020-run'!$C$37</f>
        <v>3.6</v>
      </c>
      <c r="F11" s="15">
        <f>'DP-2021-run'!$C$37</f>
        <v>9.1935000000000002</v>
      </c>
      <c r="G11" s="15">
        <f>'DP-2022-run'!$C$37</f>
        <v>9.1935000000000002</v>
      </c>
      <c r="H11" s="15">
        <v>0</v>
      </c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>
      <c r="A13" s="15"/>
      <c r="B13" s="15"/>
      <c r="C13" s="15"/>
      <c r="D13" s="15"/>
      <c r="E13" s="15"/>
      <c r="F13" s="15"/>
      <c r="G13" s="15"/>
      <c r="H13" s="15"/>
    </row>
    <row r="14" spans="1:8">
      <c r="A14" s="15" t="s">
        <v>80</v>
      </c>
      <c r="B14" s="15" t="s">
        <v>82</v>
      </c>
      <c r="C14" s="15">
        <f>C3+C8</f>
        <v>10.860479999999999</v>
      </c>
      <c r="D14" s="15">
        <f t="shared" ref="D14:F14" si="0">D3+D8</f>
        <v>20.217600000000001</v>
      </c>
      <c r="E14" s="15">
        <f t="shared" si="0"/>
        <v>28.080000000000002</v>
      </c>
      <c r="F14" s="15">
        <f t="shared" si="0"/>
        <v>78.65100000000001</v>
      </c>
      <c r="G14" s="15">
        <f t="shared" ref="G14" si="1">G3+G8</f>
        <v>78.65100000000001</v>
      </c>
      <c r="H14" s="15">
        <f t="shared" ref="H14" si="2">H3+H8</f>
        <v>3.613500000000001</v>
      </c>
    </row>
    <row r="15" spans="1:8">
      <c r="A15" s="15" t="s">
        <v>98</v>
      </c>
      <c r="B15" s="15" t="s">
        <v>77</v>
      </c>
      <c r="C15" s="26">
        <f>(C4+C9)*2</f>
        <v>1501.3527552</v>
      </c>
      <c r="D15" s="26">
        <f t="shared" ref="D15:F15" si="3">(D4+D9)*2</f>
        <v>2745.7426285714291</v>
      </c>
      <c r="E15" s="26">
        <f t="shared" si="3"/>
        <v>1370.9952000000001</v>
      </c>
      <c r="F15" s="26">
        <f t="shared" si="3"/>
        <v>4460.7996000000003</v>
      </c>
      <c r="G15" s="26">
        <f t="shared" ref="G15" si="4">(G4+G9)*2</f>
        <v>4460.7996000000003</v>
      </c>
      <c r="H15" s="26">
        <f t="shared" ref="H15" si="5">(H4+H9)*2</f>
        <v>17983.088640000005</v>
      </c>
    </row>
    <row r="16" spans="1:8">
      <c r="A16" s="15" t="s">
        <v>98</v>
      </c>
      <c r="B16" s="15" t="s">
        <v>78</v>
      </c>
      <c r="C16" s="26">
        <f>(C5+C10)*2</f>
        <v>3002.7055104000001</v>
      </c>
      <c r="D16" s="26">
        <f t="shared" ref="D16:F16" si="6">(D5+D10)*2</f>
        <v>1402.2038674285716</v>
      </c>
      <c r="E16" s="26">
        <f t="shared" si="6"/>
        <v>886.49856</v>
      </c>
      <c r="F16" s="26">
        <f t="shared" si="6"/>
        <v>4614.8032800000001</v>
      </c>
      <c r="G16" s="26">
        <f t="shared" ref="G16:G17" si="7">(G5+G10)*2</f>
        <v>4614.8032800000001</v>
      </c>
      <c r="H16" s="26">
        <f t="shared" ref="H16" si="8">(H5+H10)*2</f>
        <v>179.83088640000005</v>
      </c>
    </row>
    <row r="17" spans="1:8">
      <c r="A17" s="15"/>
      <c r="B17" s="15" t="s">
        <v>107</v>
      </c>
      <c r="C17" s="15">
        <f>(C6+C11)*2</f>
        <v>3.6201599999999994</v>
      </c>
      <c r="D17" s="15">
        <f t="shared" ref="D17:G17" si="9">(D6+D11)*2</f>
        <v>6.7392000000000012</v>
      </c>
      <c r="E17" s="15">
        <f t="shared" si="9"/>
        <v>9.3600000000000012</v>
      </c>
      <c r="F17" s="15">
        <f t="shared" si="9"/>
        <v>26.217000000000002</v>
      </c>
      <c r="G17" s="15">
        <f t="shared" si="7"/>
        <v>26.217000000000002</v>
      </c>
      <c r="H17" s="15">
        <f t="shared" ref="H17" si="10">H6+H11</f>
        <v>18.732384000000007</v>
      </c>
    </row>
    <row r="18" spans="1:8">
      <c r="B18" s="15" t="s">
        <v>108</v>
      </c>
      <c r="C18" s="26">
        <f>C15+C16</f>
        <v>4504.0582656000006</v>
      </c>
      <c r="D18" s="26">
        <f t="shared" ref="D18:F18" si="11">D15+D16</f>
        <v>4147.9464960000005</v>
      </c>
      <c r="E18" s="26">
        <f t="shared" si="11"/>
        <v>2257.4937600000003</v>
      </c>
      <c r="F18" s="26">
        <f t="shared" si="11"/>
        <v>9075.6028800000004</v>
      </c>
      <c r="G18" s="26">
        <f t="shared" ref="G18" si="12">G15+G16</f>
        <v>9075.6028800000004</v>
      </c>
      <c r="H18" s="26">
        <f t="shared" ref="H18" si="13">H15+H16</f>
        <v>18162.919526400005</v>
      </c>
    </row>
    <row r="20" spans="1:8">
      <c r="B20" s="15" t="s">
        <v>86</v>
      </c>
      <c r="C20">
        <v>0.5</v>
      </c>
      <c r="D20">
        <v>1</v>
      </c>
      <c r="E20">
        <v>2</v>
      </c>
      <c r="F20">
        <v>2</v>
      </c>
      <c r="G20">
        <v>2</v>
      </c>
      <c r="H20">
        <v>2</v>
      </c>
    </row>
    <row r="21" spans="1:8">
      <c r="B21" s="15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C645-5F26-2E4D-9D70-B4DBB2370469}">
  <dimension ref="A1:J40"/>
  <sheetViews>
    <sheetView tabSelected="1" workbookViewId="0">
      <selection activeCell="C15" sqref="C15"/>
    </sheetView>
  </sheetViews>
  <sheetFormatPr baseColWidth="10" defaultRowHeight="16"/>
  <cols>
    <col min="1" max="1" width="19" bestFit="1" customWidth="1"/>
    <col min="2" max="2" width="40.33203125" bestFit="1" customWidth="1"/>
    <col min="3" max="3" width="20.5" bestFit="1" customWidth="1"/>
    <col min="4" max="4" width="11.6640625" bestFit="1" customWidth="1"/>
    <col min="5" max="5" width="84.33203125" bestFit="1" customWidth="1"/>
    <col min="6" max="6" width="2.1640625" bestFit="1" customWidth="1"/>
    <col min="8" max="8" width="28.33203125" bestFit="1" customWidth="1"/>
  </cols>
  <sheetData>
    <row r="1" spans="1:10" ht="24">
      <c r="A1" s="1" t="s">
        <v>0</v>
      </c>
      <c r="B1" s="1" t="s">
        <v>0</v>
      </c>
      <c r="C1" s="2" t="s">
        <v>1</v>
      </c>
      <c r="D1" s="3"/>
      <c r="E1" s="1"/>
      <c r="F1" s="1"/>
      <c r="G1" s="1"/>
      <c r="H1" s="1"/>
      <c r="I1" s="1"/>
      <c r="J1" s="1"/>
    </row>
    <row r="2" spans="1:10" ht="24">
      <c r="A2" s="4" t="s">
        <v>21</v>
      </c>
      <c r="B2" s="14" t="s">
        <v>90</v>
      </c>
      <c r="C2" s="5" t="s">
        <v>0</v>
      </c>
      <c r="D2" s="6"/>
      <c r="E2" s="1" t="s">
        <v>35</v>
      </c>
      <c r="F2" s="1"/>
      <c r="G2" s="1"/>
      <c r="H2" s="1"/>
      <c r="I2" s="1"/>
      <c r="J2" s="1"/>
    </row>
    <row r="3" spans="1:10" ht="24">
      <c r="A3" s="4" t="s">
        <v>38</v>
      </c>
      <c r="B3" s="1" t="s">
        <v>9</v>
      </c>
      <c r="C3" s="2">
        <f>384000*1.5*6000*(C4/3)/10^6</f>
        <v>6220.8</v>
      </c>
      <c r="D3" s="3" t="s">
        <v>2</v>
      </c>
      <c r="E3" s="1" t="s">
        <v>55</v>
      </c>
      <c r="F3" s="1"/>
      <c r="G3" s="1"/>
      <c r="H3" s="1"/>
      <c r="I3" s="1"/>
      <c r="J3" s="1"/>
    </row>
    <row r="4" spans="1:10" ht="24">
      <c r="A4" s="1"/>
      <c r="B4" s="1" t="s">
        <v>88</v>
      </c>
      <c r="C4" s="17">
        <v>5.4</v>
      </c>
      <c r="D4" s="3" t="s">
        <v>89</v>
      </c>
      <c r="E4" s="1"/>
      <c r="F4" s="1"/>
      <c r="G4" s="1"/>
      <c r="H4" s="7"/>
      <c r="I4" s="1"/>
      <c r="J4" s="1"/>
    </row>
    <row r="5" spans="1:10" ht="24">
      <c r="A5" s="1"/>
      <c r="B5" s="1" t="s">
        <v>11</v>
      </c>
      <c r="C5" s="13">
        <f>C17</f>
        <v>3.613500000000001</v>
      </c>
      <c r="D5" s="3" t="s">
        <v>3</v>
      </c>
      <c r="E5" s="1" t="s">
        <v>91</v>
      </c>
      <c r="F5" s="1"/>
      <c r="G5" s="1"/>
      <c r="H5" s="7"/>
      <c r="I5" s="1"/>
      <c r="J5" s="1"/>
    </row>
    <row r="6" spans="1:10" ht="24">
      <c r="A6" s="1"/>
      <c r="B6" s="1" t="s">
        <v>10</v>
      </c>
      <c r="C6" s="2">
        <v>0.7</v>
      </c>
      <c r="D6" s="3" t="s">
        <v>19</v>
      </c>
      <c r="E6" s="1" t="s">
        <v>26</v>
      </c>
      <c r="F6" s="1"/>
      <c r="G6" s="1"/>
      <c r="H6" s="1"/>
      <c r="I6" s="1"/>
      <c r="J6" s="1"/>
    </row>
    <row r="7" spans="1:10" ht="24">
      <c r="A7" s="1"/>
      <c r="B7" s="1" t="s">
        <v>49</v>
      </c>
      <c r="C7" s="8">
        <v>1</v>
      </c>
      <c r="D7" s="3"/>
      <c r="E7" s="1"/>
      <c r="F7" s="1"/>
      <c r="G7" s="1"/>
      <c r="H7" s="1"/>
      <c r="I7" s="1"/>
      <c r="J7" s="1"/>
    </row>
    <row r="8" spans="1:10" ht="24">
      <c r="A8" s="1"/>
      <c r="B8" s="1" t="s">
        <v>52</v>
      </c>
      <c r="C8" s="11">
        <f>1-C7</f>
        <v>0</v>
      </c>
      <c r="D8" s="3"/>
      <c r="E8" s="1"/>
      <c r="F8" s="1"/>
      <c r="G8" s="1"/>
      <c r="H8" s="1"/>
      <c r="I8" s="1"/>
      <c r="J8" s="1"/>
    </row>
    <row r="9" spans="1:10" ht="24">
      <c r="A9" s="1"/>
      <c r="B9" s="1" t="s">
        <v>59</v>
      </c>
      <c r="C9" s="12">
        <v>0</v>
      </c>
      <c r="D9" s="3" t="s">
        <v>19</v>
      </c>
      <c r="E9" s="1" t="s">
        <v>27</v>
      </c>
      <c r="F9" s="1"/>
      <c r="G9" s="1"/>
      <c r="H9" s="1"/>
      <c r="I9" s="7"/>
      <c r="J9" s="7"/>
    </row>
    <row r="10" spans="1:10" ht="24">
      <c r="A10" s="1"/>
      <c r="B10" s="1" t="s">
        <v>57</v>
      </c>
      <c r="C10" s="2">
        <v>365</v>
      </c>
      <c r="D10" s="3" t="s">
        <v>25</v>
      </c>
      <c r="E10" s="1"/>
      <c r="F10" s="1"/>
      <c r="G10" s="1"/>
      <c r="H10" s="1"/>
      <c r="I10" s="7"/>
      <c r="J10" s="7"/>
    </row>
    <row r="11" spans="1:10" ht="24">
      <c r="A11" s="1"/>
      <c r="B11" s="1" t="s">
        <v>62</v>
      </c>
      <c r="C11" s="8">
        <v>0.01</v>
      </c>
      <c r="D11" s="3"/>
      <c r="E11" s="1" t="s">
        <v>102</v>
      </c>
      <c r="F11" s="1"/>
      <c r="G11" s="1"/>
      <c r="H11" s="1"/>
      <c r="I11" s="7"/>
      <c r="J11" s="7"/>
    </row>
    <row r="12" spans="1:10" ht="24">
      <c r="A12" s="1"/>
      <c r="B12" s="1" t="s">
        <v>63</v>
      </c>
      <c r="C12" s="13">
        <f>C$9*C$10*C$11*3600*24/10^6</f>
        <v>0</v>
      </c>
      <c r="D12" s="3" t="s">
        <v>3</v>
      </c>
      <c r="E12" s="1" t="s">
        <v>0</v>
      </c>
      <c r="F12" s="1"/>
      <c r="G12" s="1"/>
      <c r="H12" s="1"/>
      <c r="I12" s="7"/>
      <c r="J12" s="7"/>
    </row>
    <row r="13" spans="1:10" ht="24">
      <c r="A13" s="1"/>
      <c r="B13" s="1" t="s">
        <v>51</v>
      </c>
      <c r="C13" s="8">
        <f>5000/3600/24 *2</f>
        <v>0.11574074074074074</v>
      </c>
      <c r="D13" s="3" t="s">
        <v>19</v>
      </c>
      <c r="E13" s="1" t="s">
        <v>65</v>
      </c>
      <c r="F13" s="1"/>
      <c r="G13" s="1"/>
      <c r="H13" s="1"/>
      <c r="I13" s="1"/>
      <c r="J13" s="1"/>
    </row>
    <row r="14" spans="1:10" ht="24">
      <c r="A14" s="1"/>
      <c r="B14" s="1" t="s">
        <v>58</v>
      </c>
      <c r="C14" s="2">
        <v>365</v>
      </c>
      <c r="D14" s="3" t="s">
        <v>25</v>
      </c>
      <c r="E14" s="1"/>
      <c r="F14" s="1"/>
      <c r="G14" s="1"/>
      <c r="H14" s="7"/>
      <c r="I14" s="1"/>
      <c r="J14" s="1"/>
    </row>
    <row r="15" spans="1:10" ht="24">
      <c r="A15" s="1"/>
      <c r="B15" s="1" t="s">
        <v>61</v>
      </c>
      <c r="C15" s="8">
        <v>0.99</v>
      </c>
      <c r="D15" s="3"/>
      <c r="E15" s="1" t="s">
        <v>28</v>
      </c>
      <c r="F15" s="1"/>
      <c r="G15" s="1"/>
      <c r="H15" s="7"/>
      <c r="I15" s="1"/>
      <c r="J15" s="1"/>
    </row>
    <row r="16" spans="1:10" ht="24">
      <c r="A16" s="1"/>
      <c r="B16" s="1" t="s">
        <v>60</v>
      </c>
      <c r="C16" s="13">
        <f>C$14*C$15*C$13*3600*24/10^6</f>
        <v>3.613500000000001</v>
      </c>
      <c r="D16" s="3" t="s">
        <v>3</v>
      </c>
      <c r="E16" s="1" t="s">
        <v>66</v>
      </c>
      <c r="F16" s="1"/>
      <c r="G16" s="1"/>
      <c r="H16" s="7"/>
      <c r="I16" s="1"/>
      <c r="J16" s="1"/>
    </row>
    <row r="17" spans="1:10" ht="24">
      <c r="A17" s="1"/>
      <c r="B17" s="1" t="s">
        <v>53</v>
      </c>
      <c r="C17" s="13">
        <f>C$12+C$16</f>
        <v>3.613500000000001</v>
      </c>
      <c r="D17" s="3" t="s">
        <v>3</v>
      </c>
      <c r="E17" s="1" t="s">
        <v>54</v>
      </c>
      <c r="F17" s="1"/>
      <c r="G17" s="1"/>
      <c r="H17" s="7"/>
      <c r="I17" s="1"/>
      <c r="J17" s="1"/>
    </row>
    <row r="18" spans="1:10" ht="24">
      <c r="A18" s="1"/>
      <c r="B18" s="1" t="s">
        <v>4</v>
      </c>
      <c r="C18" s="2">
        <v>2.5</v>
      </c>
      <c r="D18" s="3" t="s">
        <v>0</v>
      </c>
      <c r="E18" s="1"/>
      <c r="F18" s="1"/>
      <c r="G18" s="1"/>
      <c r="H18" s="1"/>
      <c r="I18" s="1"/>
      <c r="J18" s="1"/>
    </row>
    <row r="19" spans="1:10" ht="24">
      <c r="A19" s="1"/>
      <c r="B19" s="1"/>
      <c r="C19" s="2"/>
      <c r="D19" s="3"/>
      <c r="E19" s="1"/>
      <c r="F19" s="1"/>
      <c r="G19" s="1"/>
      <c r="H19" s="1"/>
      <c r="I19" s="1"/>
      <c r="J19" s="1"/>
    </row>
    <row r="20" spans="1:10" ht="24">
      <c r="A20" s="4" t="s">
        <v>39</v>
      </c>
      <c r="B20" s="1" t="s">
        <v>7</v>
      </c>
      <c r="C20" s="9">
        <v>1</v>
      </c>
      <c r="D20" s="3"/>
      <c r="E20" s="1" t="s">
        <v>29</v>
      </c>
      <c r="F20" s="1"/>
      <c r="G20" s="1"/>
      <c r="H20" s="1"/>
      <c r="I20" s="7"/>
      <c r="J20" s="1"/>
    </row>
    <row r="21" spans="1:10" ht="24">
      <c r="A21" s="1"/>
      <c r="B21" s="1" t="s">
        <v>8</v>
      </c>
      <c r="C21" s="28">
        <v>0.01</v>
      </c>
      <c r="D21" s="3"/>
      <c r="E21" s="1" t="s">
        <v>30</v>
      </c>
      <c r="F21" s="1"/>
      <c r="G21" s="1"/>
      <c r="H21" s="1"/>
      <c r="I21" s="1"/>
      <c r="J21" s="7"/>
    </row>
    <row r="22" spans="1:10" ht="24">
      <c r="A22" s="1"/>
      <c r="B22" s="1"/>
      <c r="C22" s="2"/>
      <c r="D22" s="3"/>
      <c r="E22" s="1"/>
      <c r="F22" s="1"/>
      <c r="G22" s="1"/>
      <c r="H22" s="1"/>
      <c r="I22" s="1"/>
      <c r="J22" s="1"/>
    </row>
    <row r="23" spans="1:10" ht="24">
      <c r="A23" s="1"/>
      <c r="B23" s="1" t="s">
        <v>5</v>
      </c>
      <c r="C23" s="2">
        <f>3*C3/60</f>
        <v>311.04000000000002</v>
      </c>
      <c r="D23" s="3" t="s">
        <v>6</v>
      </c>
      <c r="E23" s="1" t="s">
        <v>103</v>
      </c>
      <c r="F23" s="1" t="s">
        <v>0</v>
      </c>
      <c r="G23" s="1"/>
      <c r="H23" s="1"/>
      <c r="I23" s="1"/>
      <c r="J23" s="1"/>
    </row>
    <row r="24" spans="1:10" ht="24">
      <c r="A24" s="1"/>
      <c r="B24" s="1"/>
      <c r="C24" s="2"/>
      <c r="D24" s="3"/>
      <c r="E24" s="1"/>
      <c r="F24" s="1"/>
      <c r="G24" s="1"/>
      <c r="H24" s="1"/>
      <c r="I24" s="1"/>
      <c r="J24" s="1"/>
    </row>
    <row r="25" spans="1:10" ht="24">
      <c r="A25" s="1"/>
      <c r="B25" s="1" t="s">
        <v>20</v>
      </c>
      <c r="C25" s="10"/>
      <c r="D25" s="1"/>
      <c r="E25" s="1"/>
      <c r="F25" s="1"/>
      <c r="G25" s="1"/>
      <c r="H25" s="1"/>
      <c r="I25" s="1"/>
      <c r="J25" s="1"/>
    </row>
    <row r="26" spans="1:10" ht="24">
      <c r="A26" s="4" t="s">
        <v>45</v>
      </c>
      <c r="B26" s="1"/>
      <c r="C26" s="10"/>
      <c r="D26" s="1"/>
      <c r="E26" s="1"/>
      <c r="F26" s="1"/>
      <c r="G26" s="1"/>
      <c r="H26" s="1"/>
      <c r="I26" s="1"/>
      <c r="J26" s="1"/>
    </row>
    <row r="27" spans="1:10" ht="24">
      <c r="A27" s="4" t="s">
        <v>46</v>
      </c>
      <c r="B27" s="1"/>
      <c r="C27" s="10"/>
      <c r="D27" s="1"/>
      <c r="E27" s="1"/>
      <c r="F27" s="1"/>
      <c r="G27" s="1"/>
      <c r="H27" s="1"/>
      <c r="I27" s="1"/>
      <c r="J27" s="1"/>
    </row>
    <row r="28" spans="1:10" ht="24">
      <c r="A28" s="1"/>
      <c r="B28" s="1" t="s">
        <v>13</v>
      </c>
      <c r="C28" s="10">
        <f>C3*C5</f>
        <v>22478.860800000006</v>
      </c>
      <c r="D28" s="1" t="s">
        <v>14</v>
      </c>
      <c r="E28" s="1"/>
      <c r="F28" s="1"/>
      <c r="G28" s="1"/>
      <c r="H28" s="1"/>
      <c r="I28" s="1"/>
      <c r="J28" s="1"/>
    </row>
    <row r="29" spans="1:10" ht="24">
      <c r="A29" s="4" t="s">
        <v>12</v>
      </c>
      <c r="B29" s="1" t="s">
        <v>40</v>
      </c>
      <c r="C29" s="10">
        <f>C28/C18</f>
        <v>8991.5443200000027</v>
      </c>
      <c r="D29" s="1" t="s">
        <v>14</v>
      </c>
      <c r="E29" s="1" t="s">
        <v>34</v>
      </c>
      <c r="F29" s="1"/>
      <c r="G29" s="1"/>
      <c r="H29" s="1"/>
      <c r="I29" s="1"/>
      <c r="J29" s="1"/>
    </row>
    <row r="30" spans="1:10" ht="24">
      <c r="A30" s="1"/>
      <c r="B30" s="1" t="s">
        <v>15</v>
      </c>
      <c r="C30" s="10">
        <f>C29/C20</f>
        <v>8991.5443200000027</v>
      </c>
      <c r="D30" s="1" t="s">
        <v>14</v>
      </c>
      <c r="E30" s="1" t="s">
        <v>33</v>
      </c>
      <c r="F30" s="1"/>
      <c r="G30" s="1"/>
      <c r="H30" s="1"/>
      <c r="I30" s="1"/>
      <c r="J30" s="1"/>
    </row>
    <row r="31" spans="1:10" ht="24">
      <c r="A31" s="1"/>
      <c r="B31" s="1" t="s">
        <v>16</v>
      </c>
      <c r="C31" s="10">
        <f>C30*C21</f>
        <v>89.915443200000027</v>
      </c>
      <c r="D31" s="1" t="s">
        <v>14</v>
      </c>
      <c r="E31" s="1" t="s">
        <v>36</v>
      </c>
      <c r="F31" s="1"/>
      <c r="G31" s="1"/>
      <c r="H31" s="1"/>
      <c r="I31" s="1"/>
      <c r="J31" s="1"/>
    </row>
    <row r="32" spans="1:10" ht="24">
      <c r="A32" s="1"/>
      <c r="B32" s="1" t="s">
        <v>37</v>
      </c>
      <c r="C32" s="10">
        <f>C29+C31</f>
        <v>9081.4597632000023</v>
      </c>
      <c r="D32" s="1" t="s">
        <v>14</v>
      </c>
      <c r="E32" s="1" t="s">
        <v>41</v>
      </c>
      <c r="F32" s="1"/>
      <c r="G32" s="1"/>
      <c r="H32" s="1"/>
      <c r="I32" s="1"/>
      <c r="J32" s="1"/>
    </row>
    <row r="33" spans="1:10" ht="24">
      <c r="A33" s="1"/>
      <c r="B33" s="1"/>
      <c r="C33" s="10"/>
      <c r="D33" s="1"/>
      <c r="E33" s="1"/>
      <c r="F33" s="1"/>
      <c r="G33" s="1"/>
      <c r="H33" s="1"/>
      <c r="I33" s="1"/>
      <c r="J33" s="1"/>
    </row>
    <row r="34" spans="1:10" ht="24">
      <c r="A34" s="1"/>
      <c r="B34" s="1" t="s">
        <v>23</v>
      </c>
      <c r="C34" s="10">
        <f>C3/C18*(C6+C13)</f>
        <v>2029.8239999999998</v>
      </c>
      <c r="D34" s="1" t="s">
        <v>22</v>
      </c>
      <c r="E34" s="1" t="s">
        <v>31</v>
      </c>
      <c r="F34" s="1"/>
      <c r="G34" s="1"/>
      <c r="H34" s="1"/>
      <c r="I34" s="1"/>
      <c r="J34" s="1"/>
    </row>
    <row r="35" spans="1:10" ht="24">
      <c r="A35" s="1"/>
      <c r="B35" s="1" t="s">
        <v>24</v>
      </c>
      <c r="C35" s="10">
        <f>(C3)/C18*(C9+C13)</f>
        <v>288</v>
      </c>
      <c r="D35" s="1" t="s">
        <v>22</v>
      </c>
      <c r="E35" s="1" t="s">
        <v>32</v>
      </c>
      <c r="F35" s="1"/>
      <c r="G35" s="1"/>
      <c r="H35" s="1" t="s">
        <v>42</v>
      </c>
      <c r="I35" s="1"/>
      <c r="J35" s="1"/>
    </row>
    <row r="36" spans="1:10" ht="24">
      <c r="A36" s="1"/>
      <c r="B36" s="1" t="s">
        <v>43</v>
      </c>
      <c r="C36" s="10">
        <f>C35*C15*3600*24*3/1024/1024</f>
        <v>70.4794921875</v>
      </c>
      <c r="D36" s="1" t="s">
        <v>14</v>
      </c>
      <c r="E36" s="1" t="s">
        <v>44</v>
      </c>
      <c r="F36" s="1"/>
      <c r="G36" s="1"/>
      <c r="H36" s="1"/>
      <c r="I36" s="1"/>
      <c r="J36" s="1"/>
    </row>
    <row r="37" spans="1:10" ht="24">
      <c r="A37" s="1"/>
      <c r="B37" s="1" t="s">
        <v>17</v>
      </c>
      <c r="C37" s="10">
        <f>C5*C23/C20/60</f>
        <v>18.732384000000007</v>
      </c>
      <c r="D37" s="1" t="s">
        <v>18</v>
      </c>
      <c r="E37" s="1" t="s">
        <v>48</v>
      </c>
      <c r="F37" s="1"/>
      <c r="G37" s="1"/>
      <c r="H37" s="1"/>
      <c r="I37" s="1"/>
      <c r="J37" s="1"/>
    </row>
    <row r="38" spans="1:10" ht="24">
      <c r="A38" s="1"/>
      <c r="B38" s="1"/>
      <c r="C38" s="10">
        <f>C37/365/24*1000</f>
        <v>2.1384000000000007</v>
      </c>
      <c r="D38" s="1" t="s">
        <v>56</v>
      </c>
      <c r="E38" s="1"/>
      <c r="F38" s="1"/>
      <c r="G38" s="1"/>
      <c r="H38" s="1"/>
      <c r="I38" s="1"/>
      <c r="J38" s="1"/>
    </row>
    <row r="40" spans="1:10">
      <c r="E40">
        <f>C5*10^6*311/60</f>
        <v>18729975.000000004</v>
      </c>
    </row>
  </sheetData>
  <dataValidations count="1">
    <dataValidation type="list" allowBlank="1" showInputMessage="1" showErrorMessage="1" sqref="B25" xr:uid="{28B507AA-79B9-1F43-B7B9-B4957E26F06B}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5F33-D830-CD43-8863-2FC6B36C8F42}">
  <dimension ref="A1:J38"/>
  <sheetViews>
    <sheetView topLeftCell="A24" workbookViewId="0">
      <selection activeCell="C2" sqref="C2"/>
    </sheetView>
  </sheetViews>
  <sheetFormatPr baseColWidth="10" defaultRowHeight="16"/>
  <cols>
    <col min="1" max="1" width="19" bestFit="1" customWidth="1"/>
    <col min="2" max="2" width="40.33203125" bestFit="1" customWidth="1"/>
    <col min="3" max="3" width="18" style="25" bestFit="1" customWidth="1"/>
    <col min="4" max="4" width="11.6640625" bestFit="1" customWidth="1"/>
    <col min="5" max="5" width="84.33203125" bestFit="1" customWidth="1"/>
    <col min="6" max="6" width="2.1640625" bestFit="1" customWidth="1"/>
    <col min="8" max="8" width="28.33203125" bestFit="1" customWidth="1"/>
  </cols>
  <sheetData>
    <row r="1" spans="1:10" ht="24">
      <c r="A1" s="1" t="s">
        <v>0</v>
      </c>
      <c r="B1" s="1" t="s">
        <v>0</v>
      </c>
      <c r="C1" s="18" t="s">
        <v>1</v>
      </c>
      <c r="D1" s="3"/>
      <c r="E1" s="1"/>
      <c r="F1" s="1"/>
      <c r="G1" s="1"/>
      <c r="H1" s="1"/>
      <c r="I1" s="1"/>
      <c r="J1" s="1"/>
    </row>
    <row r="2" spans="1:10" ht="24">
      <c r="A2" s="4" t="s">
        <v>21</v>
      </c>
      <c r="B2" s="14" t="s">
        <v>92</v>
      </c>
      <c r="C2" s="19" t="s">
        <v>0</v>
      </c>
      <c r="D2" s="6"/>
      <c r="E2" s="1" t="s">
        <v>35</v>
      </c>
      <c r="F2" s="1"/>
      <c r="G2" s="1"/>
      <c r="H2" s="1"/>
      <c r="I2" s="1"/>
      <c r="J2" s="1"/>
    </row>
    <row r="3" spans="1:10" ht="24">
      <c r="A3" s="4" t="s">
        <v>38</v>
      </c>
      <c r="B3" s="1" t="s">
        <v>9</v>
      </c>
      <c r="C3" s="18">
        <f>384000*4*6000*(C4/3)/10^9*1.5</f>
        <v>138240</v>
      </c>
      <c r="D3" s="3" t="s">
        <v>95</v>
      </c>
      <c r="E3" s="1" t="s">
        <v>55</v>
      </c>
      <c r="F3" s="1"/>
      <c r="G3" s="1"/>
      <c r="H3" s="1"/>
      <c r="I3" s="1"/>
      <c r="J3" s="1"/>
    </row>
    <row r="4" spans="1:10" ht="24">
      <c r="A4" s="1"/>
      <c r="B4" s="1" t="s">
        <v>88</v>
      </c>
      <c r="C4" s="20">
        <v>30000</v>
      </c>
      <c r="D4" s="3" t="s">
        <v>89</v>
      </c>
      <c r="E4" s="1"/>
      <c r="F4" s="1"/>
      <c r="G4" s="1"/>
      <c r="H4" s="7"/>
      <c r="I4" s="1"/>
      <c r="J4" s="1"/>
    </row>
    <row r="5" spans="1:10" ht="24">
      <c r="A5" s="1"/>
      <c r="B5" s="1" t="s">
        <v>11</v>
      </c>
      <c r="C5" s="21">
        <f>C17</f>
        <v>1.1759999999999998E-5</v>
      </c>
      <c r="D5" s="3" t="s">
        <v>3</v>
      </c>
      <c r="E5" s="1" t="s">
        <v>91</v>
      </c>
      <c r="F5" s="1"/>
      <c r="G5" s="1"/>
      <c r="H5" s="7"/>
      <c r="I5" s="1"/>
      <c r="J5" s="1"/>
    </row>
    <row r="6" spans="1:10" ht="24">
      <c r="A6" s="1"/>
      <c r="B6" s="1" t="s">
        <v>10</v>
      </c>
      <c r="C6" s="18">
        <f>12/365/24/3600</f>
        <v>3.8051750380517498E-7</v>
      </c>
      <c r="D6" s="3" t="s">
        <v>19</v>
      </c>
      <c r="E6" s="1" t="s">
        <v>93</v>
      </c>
      <c r="F6" s="1"/>
      <c r="G6" s="1"/>
      <c r="H6" s="1"/>
      <c r="I6" s="1"/>
      <c r="J6" s="1"/>
    </row>
    <row r="7" spans="1:10" ht="24">
      <c r="A7" s="1"/>
      <c r="B7" s="1" t="s">
        <v>49</v>
      </c>
      <c r="C7" s="18">
        <v>1</v>
      </c>
      <c r="D7" s="3"/>
      <c r="E7" s="1"/>
      <c r="F7" s="1"/>
      <c r="G7" s="1"/>
      <c r="H7" s="1"/>
      <c r="I7" s="1"/>
      <c r="J7" s="1"/>
    </row>
    <row r="8" spans="1:10" ht="24">
      <c r="A8" s="1"/>
      <c r="B8" s="1" t="s">
        <v>52</v>
      </c>
      <c r="C8" s="21">
        <f>1-C7</f>
        <v>0</v>
      </c>
      <c r="D8" s="3"/>
      <c r="E8" s="1"/>
      <c r="F8" s="1"/>
      <c r="G8" s="1"/>
      <c r="H8" s="1"/>
      <c r="I8" s="1"/>
      <c r="J8" s="1"/>
    </row>
    <row r="9" spans="1:10" ht="24">
      <c r="A9" s="1"/>
      <c r="B9" s="1" t="s">
        <v>59</v>
      </c>
      <c r="C9" s="22">
        <f>C7*C6</f>
        <v>3.8051750380517498E-7</v>
      </c>
      <c r="D9" s="3" t="s">
        <v>19</v>
      </c>
      <c r="E9" s="1" t="s">
        <v>27</v>
      </c>
      <c r="F9" s="1"/>
      <c r="G9" s="1"/>
      <c r="H9" s="1"/>
      <c r="I9" s="7"/>
      <c r="J9" s="7"/>
    </row>
    <row r="10" spans="1:10" ht="24">
      <c r="A10" s="1"/>
      <c r="B10" s="1" t="s">
        <v>57</v>
      </c>
      <c r="C10" s="18">
        <v>365</v>
      </c>
      <c r="D10" s="3" t="s">
        <v>25</v>
      </c>
      <c r="E10" s="1"/>
      <c r="F10" s="1"/>
      <c r="G10" s="1"/>
      <c r="H10" s="1"/>
      <c r="I10" s="7"/>
      <c r="J10" s="7"/>
    </row>
    <row r="11" spans="1:10" ht="24">
      <c r="A11" s="1"/>
      <c r="B11" s="1" t="s">
        <v>62</v>
      </c>
      <c r="C11" s="18">
        <v>0.98</v>
      </c>
      <c r="D11" s="3"/>
      <c r="E11" s="1" t="s">
        <v>28</v>
      </c>
      <c r="F11" s="1"/>
      <c r="G11" s="1"/>
      <c r="H11" s="1"/>
      <c r="I11" s="7"/>
      <c r="J11" s="7"/>
    </row>
    <row r="12" spans="1:10" ht="24">
      <c r="A12" s="1"/>
      <c r="B12" s="1" t="s">
        <v>63</v>
      </c>
      <c r="C12" s="21">
        <f>C$9*C$10*C$11*3600*24/10^6</f>
        <v>1.1759999999999998E-5</v>
      </c>
      <c r="D12" s="3" t="s">
        <v>3</v>
      </c>
      <c r="E12" s="1" t="s">
        <v>0</v>
      </c>
      <c r="F12" s="1"/>
      <c r="G12" s="1"/>
      <c r="H12" s="1"/>
      <c r="I12" s="7"/>
      <c r="J12" s="7"/>
    </row>
    <row r="13" spans="1:10" ht="24">
      <c r="A13" s="1"/>
      <c r="B13" s="1" t="s">
        <v>51</v>
      </c>
      <c r="C13" s="18">
        <v>0</v>
      </c>
      <c r="D13" s="3" t="s">
        <v>19</v>
      </c>
      <c r="E13" s="1" t="s">
        <v>65</v>
      </c>
      <c r="F13" s="1"/>
      <c r="G13" s="1"/>
      <c r="H13" s="1"/>
      <c r="I13" s="1"/>
      <c r="J13" s="1"/>
    </row>
    <row r="14" spans="1:10" ht="24">
      <c r="A14" s="1"/>
      <c r="B14" s="1" t="s">
        <v>58</v>
      </c>
      <c r="C14" s="18">
        <v>365</v>
      </c>
      <c r="D14" s="3" t="s">
        <v>25</v>
      </c>
      <c r="E14" s="1"/>
      <c r="F14" s="1"/>
      <c r="G14" s="1"/>
      <c r="H14" s="7"/>
      <c r="I14" s="1"/>
      <c r="J14" s="1"/>
    </row>
    <row r="15" spans="1:10" ht="24">
      <c r="A15" s="1"/>
      <c r="B15" s="1" t="s">
        <v>61</v>
      </c>
      <c r="C15" s="18">
        <v>0.5</v>
      </c>
      <c r="D15" s="3"/>
      <c r="E15" s="1" t="s">
        <v>28</v>
      </c>
      <c r="F15" s="1"/>
      <c r="G15" s="1"/>
      <c r="H15" s="7"/>
      <c r="I15" s="1"/>
      <c r="J15" s="1"/>
    </row>
    <row r="16" spans="1:10" ht="24">
      <c r="A16" s="1"/>
      <c r="B16" s="1" t="s">
        <v>60</v>
      </c>
      <c r="C16" s="21">
        <f>C$14*C$15*C$13*3600*24/10^6</f>
        <v>0</v>
      </c>
      <c r="D16" s="3" t="s">
        <v>3</v>
      </c>
      <c r="E16" s="1" t="s">
        <v>66</v>
      </c>
      <c r="F16" s="1"/>
      <c r="G16" s="1"/>
      <c r="H16" s="7"/>
      <c r="I16" s="1"/>
      <c r="J16" s="1"/>
    </row>
    <row r="17" spans="1:10" ht="24">
      <c r="A17" s="1"/>
      <c r="B17" s="1" t="s">
        <v>53</v>
      </c>
      <c r="C17" s="21">
        <f>C$12+C$16</f>
        <v>1.1759999999999998E-5</v>
      </c>
      <c r="D17" s="3" t="s">
        <v>3</v>
      </c>
      <c r="E17" s="1" t="s">
        <v>54</v>
      </c>
      <c r="F17" s="1"/>
      <c r="G17" s="1"/>
      <c r="H17" s="7"/>
      <c r="I17" s="1"/>
      <c r="J17" s="1"/>
    </row>
    <row r="18" spans="1:10" ht="24">
      <c r="A18" s="1"/>
      <c r="B18" s="1" t="s">
        <v>4</v>
      </c>
      <c r="C18" s="18">
        <v>2.5</v>
      </c>
      <c r="D18" s="3" t="s">
        <v>0</v>
      </c>
      <c r="E18" s="1"/>
      <c r="F18" s="1"/>
      <c r="G18" s="1"/>
      <c r="H18" s="1"/>
      <c r="I18" s="1"/>
      <c r="J18" s="1"/>
    </row>
    <row r="19" spans="1:10" ht="24">
      <c r="A19" s="1"/>
      <c r="B19" s="1"/>
      <c r="C19" s="18"/>
      <c r="D19" s="3"/>
      <c r="E19" s="1"/>
      <c r="F19" s="1"/>
      <c r="G19" s="1"/>
      <c r="H19" s="1"/>
      <c r="I19" s="1"/>
      <c r="J19" s="1"/>
    </row>
    <row r="20" spans="1:10" ht="24">
      <c r="A20" s="4" t="s">
        <v>39</v>
      </c>
      <c r="B20" s="1" t="s">
        <v>7</v>
      </c>
      <c r="C20" s="23">
        <v>1</v>
      </c>
      <c r="D20" s="3"/>
      <c r="E20" s="1" t="s">
        <v>29</v>
      </c>
      <c r="F20" s="1"/>
      <c r="G20" s="1"/>
      <c r="H20" s="1"/>
      <c r="I20" s="7"/>
      <c r="J20" s="1"/>
    </row>
    <row r="21" spans="1:10" ht="24">
      <c r="A21" s="1"/>
      <c r="B21" s="1" t="s">
        <v>8</v>
      </c>
      <c r="C21" s="23">
        <v>2</v>
      </c>
      <c r="D21" s="3"/>
      <c r="E21" s="1" t="s">
        <v>30</v>
      </c>
      <c r="F21" s="1"/>
      <c r="G21" s="1"/>
      <c r="H21" s="1"/>
      <c r="I21" s="1"/>
      <c r="J21" s="7"/>
    </row>
    <row r="22" spans="1:10" ht="24">
      <c r="A22" s="1"/>
      <c r="B22" s="1"/>
      <c r="C22" s="18"/>
      <c r="D22" s="3"/>
      <c r="E22" s="1"/>
      <c r="F22" s="1"/>
      <c r="G22" s="1"/>
      <c r="H22" s="1"/>
      <c r="I22" s="1"/>
      <c r="J22" s="1"/>
    </row>
    <row r="23" spans="1:10" ht="24">
      <c r="A23" s="1"/>
      <c r="B23" s="1" t="s">
        <v>5</v>
      </c>
      <c r="C23" s="18">
        <f>10*C3/0.27</f>
        <v>5120000</v>
      </c>
      <c r="D23" s="3" t="s">
        <v>6</v>
      </c>
      <c r="E23" s="1" t="s">
        <v>94</v>
      </c>
      <c r="F23" s="1" t="s">
        <v>0</v>
      </c>
      <c r="G23" s="1"/>
      <c r="H23" s="1"/>
      <c r="I23" s="1"/>
      <c r="J23" s="1"/>
    </row>
    <row r="24" spans="1:10" ht="24">
      <c r="A24" s="1"/>
      <c r="B24" s="1"/>
      <c r="C24" s="18"/>
      <c r="D24" s="3"/>
      <c r="E24" s="1"/>
      <c r="F24" s="1"/>
      <c r="G24" s="1"/>
      <c r="H24" s="1"/>
      <c r="I24" s="1"/>
      <c r="J24" s="1"/>
    </row>
    <row r="25" spans="1:10" ht="24">
      <c r="A25" s="1"/>
      <c r="B25" s="1" t="s">
        <v>20</v>
      </c>
      <c r="C25" s="24"/>
      <c r="D25" s="1"/>
      <c r="E25" s="1"/>
      <c r="F25" s="1"/>
      <c r="G25" s="1"/>
      <c r="H25" s="1"/>
      <c r="I25" s="1"/>
      <c r="J25" s="1"/>
    </row>
    <row r="26" spans="1:10" ht="24">
      <c r="A26" s="4" t="s">
        <v>45</v>
      </c>
      <c r="B26" s="1"/>
      <c r="C26" s="24"/>
      <c r="D26" s="1"/>
      <c r="E26" s="1"/>
      <c r="F26" s="1"/>
      <c r="G26" s="1"/>
      <c r="H26" s="1"/>
      <c r="I26" s="1"/>
      <c r="J26" s="1"/>
    </row>
    <row r="27" spans="1:10" ht="24">
      <c r="A27" s="4" t="s">
        <v>46</v>
      </c>
      <c r="B27" s="1"/>
      <c r="C27" s="24"/>
      <c r="D27" s="1"/>
      <c r="E27" s="1"/>
      <c r="F27" s="1"/>
      <c r="G27" s="1"/>
      <c r="H27" s="1"/>
      <c r="I27" s="1"/>
      <c r="J27" s="1"/>
    </row>
    <row r="28" spans="1:10" ht="24">
      <c r="A28" s="1"/>
      <c r="B28" s="1" t="s">
        <v>13</v>
      </c>
      <c r="C28" s="24">
        <f>C3*C5</f>
        <v>1.6257023999999995</v>
      </c>
      <c r="D28" s="1" t="s">
        <v>95</v>
      </c>
      <c r="E28" s="1"/>
      <c r="F28" s="1"/>
      <c r="G28" s="1"/>
      <c r="H28" s="1"/>
      <c r="I28" s="1"/>
      <c r="J28" s="1"/>
    </row>
    <row r="29" spans="1:10" ht="24">
      <c r="A29" s="4" t="s">
        <v>12</v>
      </c>
      <c r="B29" s="1" t="s">
        <v>40</v>
      </c>
      <c r="C29" s="24">
        <f>C28/C18</f>
        <v>0.6502809599999998</v>
      </c>
      <c r="D29" s="1" t="s">
        <v>95</v>
      </c>
      <c r="E29" s="1" t="s">
        <v>34</v>
      </c>
      <c r="F29" s="1"/>
      <c r="G29" s="1"/>
      <c r="H29" s="1"/>
      <c r="I29" s="1"/>
      <c r="J29" s="1"/>
    </row>
    <row r="30" spans="1:10" ht="24">
      <c r="A30" s="1"/>
      <c r="B30" s="1" t="s">
        <v>15</v>
      </c>
      <c r="C30" s="24">
        <f>C29/C20</f>
        <v>0.6502809599999998</v>
      </c>
      <c r="D30" s="1" t="s">
        <v>95</v>
      </c>
      <c r="E30" s="1" t="s">
        <v>33</v>
      </c>
      <c r="F30" s="1"/>
      <c r="G30" s="1"/>
      <c r="H30" s="1"/>
      <c r="I30" s="1"/>
      <c r="J30" s="1"/>
    </row>
    <row r="31" spans="1:10" ht="24">
      <c r="A31" s="1"/>
      <c r="B31" s="1" t="s">
        <v>16</v>
      </c>
      <c r="C31" s="24">
        <f>C30*C21</f>
        <v>1.3005619199999996</v>
      </c>
      <c r="D31" s="1" t="s">
        <v>95</v>
      </c>
      <c r="E31" s="1" t="s">
        <v>36</v>
      </c>
      <c r="F31" s="1"/>
      <c r="G31" s="1"/>
      <c r="H31" s="1"/>
      <c r="I31" s="1"/>
      <c r="J31" s="1"/>
    </row>
    <row r="32" spans="1:10" ht="24">
      <c r="A32" s="1"/>
      <c r="B32" s="1" t="s">
        <v>37</v>
      </c>
      <c r="C32" s="24">
        <f>C29+C31</f>
        <v>1.9508428799999993</v>
      </c>
      <c r="D32" s="1" t="s">
        <v>95</v>
      </c>
      <c r="E32" s="1" t="s">
        <v>41</v>
      </c>
      <c r="F32" s="1"/>
      <c r="G32" s="1"/>
      <c r="H32" s="1"/>
      <c r="I32" s="1"/>
      <c r="J32" s="1"/>
    </row>
    <row r="33" spans="1:10" ht="24">
      <c r="A33" s="1"/>
      <c r="B33" s="1"/>
      <c r="C33" s="24"/>
      <c r="D33" s="1"/>
      <c r="E33" s="1"/>
      <c r="F33" s="1"/>
      <c r="G33" s="1"/>
      <c r="H33" s="1"/>
      <c r="I33" s="1"/>
      <c r="J33" s="1"/>
    </row>
    <row r="34" spans="1:10" ht="24">
      <c r="A34" s="1"/>
      <c r="B34" s="1" t="s">
        <v>23</v>
      </c>
      <c r="C34" s="24">
        <f>C3/C18*(C6+C13)</f>
        <v>2.1041095890410956E-2</v>
      </c>
      <c r="D34" s="1" t="s">
        <v>96</v>
      </c>
      <c r="E34" s="1" t="s">
        <v>31</v>
      </c>
      <c r="F34" s="1"/>
      <c r="G34" s="1"/>
      <c r="H34" s="1"/>
      <c r="I34" s="1"/>
      <c r="J34" s="1"/>
    </row>
    <row r="35" spans="1:10" ht="24">
      <c r="A35" s="1"/>
      <c r="B35" s="1" t="s">
        <v>24</v>
      </c>
      <c r="C35" s="24">
        <f>(C3)/C18*(C9+C13)</f>
        <v>2.1041095890410956E-2</v>
      </c>
      <c r="D35" s="1" t="s">
        <v>96</v>
      </c>
      <c r="E35" s="1" t="s">
        <v>32</v>
      </c>
      <c r="F35" s="1"/>
      <c r="G35" s="1"/>
      <c r="H35" s="1" t="s">
        <v>42</v>
      </c>
      <c r="I35" s="1"/>
      <c r="J35" s="1"/>
    </row>
    <row r="36" spans="1:10" ht="24">
      <c r="A36" s="1"/>
      <c r="B36" s="1" t="s">
        <v>43</v>
      </c>
      <c r="C36" s="24">
        <f>C35*C15*3600*24*3/1024/1024</f>
        <v>2.6005993150684929E-3</v>
      </c>
      <c r="D36" s="1" t="s">
        <v>97</v>
      </c>
      <c r="E36" s="1" t="s">
        <v>44</v>
      </c>
      <c r="F36" s="1"/>
      <c r="G36" s="1"/>
      <c r="H36" s="1"/>
      <c r="I36" s="1"/>
      <c r="J36" s="1"/>
    </row>
    <row r="37" spans="1:10" ht="24">
      <c r="A37" s="1"/>
      <c r="B37" s="1" t="s">
        <v>17</v>
      </c>
      <c r="C37" s="24">
        <f>C5*C23/C20/60*C21</f>
        <v>2.0070399999999995</v>
      </c>
      <c r="D37" s="1" t="s">
        <v>18</v>
      </c>
      <c r="E37" s="1" t="s">
        <v>48</v>
      </c>
      <c r="F37" s="1"/>
      <c r="G37" s="1"/>
      <c r="H37" s="1"/>
      <c r="I37" s="1"/>
      <c r="J37" s="1"/>
    </row>
    <row r="38" spans="1:10" ht="24">
      <c r="A38" s="1"/>
      <c r="B38" s="1"/>
      <c r="C38" s="24">
        <f>C37/365/24*1000</f>
        <v>0.22911415525114148</v>
      </c>
      <c r="D38" s="1" t="s">
        <v>56</v>
      </c>
      <c r="E38" s="1"/>
      <c r="F38" s="1"/>
      <c r="G38" s="1"/>
      <c r="H38" s="1"/>
      <c r="I38" s="1"/>
      <c r="J38" s="1"/>
    </row>
  </sheetData>
  <dataValidations count="1">
    <dataValidation type="list" allowBlank="1" showInputMessage="1" showErrorMessage="1" sqref="B25" xr:uid="{23C69DE1-85F3-AF48-B3DB-DA96D138249A}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14ECF-5061-2447-96AE-6DE3C502347A}">
  <dimension ref="A1:C5"/>
  <sheetViews>
    <sheetView workbookViewId="0">
      <selection activeCell="C5" sqref="C5"/>
    </sheetView>
  </sheetViews>
  <sheetFormatPr baseColWidth="10" defaultRowHeight="16"/>
  <sheetData>
    <row r="1" spans="1:3">
      <c r="A1" t="s">
        <v>81</v>
      </c>
      <c r="C1">
        <v>2018</v>
      </c>
    </row>
    <row r="2" spans="1:3">
      <c r="C2" t="s">
        <v>85</v>
      </c>
    </row>
    <row r="3" spans="1:3">
      <c r="A3" t="s">
        <v>82</v>
      </c>
      <c r="C3">
        <v>14</v>
      </c>
    </row>
    <row r="4" spans="1:3">
      <c r="A4" t="s">
        <v>84</v>
      </c>
      <c r="C4">
        <v>210</v>
      </c>
    </row>
    <row r="5" spans="1:3">
      <c r="A5" t="s">
        <v>83</v>
      </c>
      <c r="C5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8A40E-2138-4D45-B61A-EAC50AE86A9D}">
  <dimension ref="A1:J38"/>
  <sheetViews>
    <sheetView topLeftCell="A23" workbookViewId="0">
      <selection activeCell="C3" sqref="C3"/>
    </sheetView>
  </sheetViews>
  <sheetFormatPr baseColWidth="10" defaultRowHeight="24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>
      <c r="A1" s="1" t="s">
        <v>0</v>
      </c>
      <c r="B1" s="1" t="s">
        <v>0</v>
      </c>
      <c r="C1" s="2" t="s">
        <v>1</v>
      </c>
      <c r="D1" s="3"/>
    </row>
    <row r="2" spans="1:10">
      <c r="A2" s="4" t="s">
        <v>21</v>
      </c>
      <c r="B2" s="14" t="s">
        <v>68</v>
      </c>
      <c r="C2" s="5" t="s">
        <v>0</v>
      </c>
      <c r="D2" s="6"/>
      <c r="E2" s="1" t="s">
        <v>35</v>
      </c>
    </row>
    <row r="3" spans="1:10">
      <c r="A3" s="4" t="s">
        <v>38</v>
      </c>
      <c r="B3" s="1" t="s">
        <v>9</v>
      </c>
      <c r="C3" s="2">
        <f>230.4*1.25*C4/5</f>
        <v>172.8</v>
      </c>
      <c r="D3" s="3" t="s">
        <v>2</v>
      </c>
      <c r="E3" s="1" t="s">
        <v>55</v>
      </c>
      <c r="J3" s="1">
        <f>C3/C18</f>
        <v>61.714285714285722</v>
      </c>
    </row>
    <row r="4" spans="1:10">
      <c r="B4" s="1" t="s">
        <v>88</v>
      </c>
      <c r="C4" s="17">
        <v>3</v>
      </c>
      <c r="D4" s="3" t="s">
        <v>89</v>
      </c>
      <c r="H4" s="7"/>
    </row>
    <row r="5" spans="1:10">
      <c r="B5" s="1" t="s">
        <v>11</v>
      </c>
      <c r="C5" s="13">
        <f>C17</f>
        <v>17.625600000000002</v>
      </c>
      <c r="D5" s="3" t="s">
        <v>3</v>
      </c>
      <c r="E5" s="1" t="s">
        <v>47</v>
      </c>
      <c r="H5" s="7"/>
    </row>
    <row r="6" spans="1:10">
      <c r="B6" s="1" t="s">
        <v>10</v>
      </c>
      <c r="C6" s="2">
        <v>0</v>
      </c>
      <c r="D6" s="3" t="s">
        <v>19</v>
      </c>
      <c r="E6" s="1" t="s">
        <v>26</v>
      </c>
    </row>
    <row r="7" spans="1:10">
      <c r="B7" s="1" t="s">
        <v>49</v>
      </c>
      <c r="C7" s="8">
        <v>0</v>
      </c>
      <c r="D7" s="3"/>
      <c r="E7" s="1" t="s">
        <v>50</v>
      </c>
    </row>
    <row r="8" spans="1:10">
      <c r="B8" s="1" t="s">
        <v>52</v>
      </c>
      <c r="C8" s="11">
        <f>1-C7</f>
        <v>1</v>
      </c>
      <c r="D8" s="3"/>
    </row>
    <row r="9" spans="1:10">
      <c r="B9" s="1" t="s">
        <v>59</v>
      </c>
      <c r="C9" s="12">
        <f>C7*C6</f>
        <v>0</v>
      </c>
      <c r="D9" s="3" t="s">
        <v>19</v>
      </c>
      <c r="E9" s="1" t="s">
        <v>27</v>
      </c>
      <c r="I9" s="7"/>
      <c r="J9" s="7"/>
    </row>
    <row r="10" spans="1:10">
      <c r="B10" s="1" t="s">
        <v>57</v>
      </c>
      <c r="C10" s="2">
        <v>0</v>
      </c>
      <c r="D10" s="3" t="s">
        <v>25</v>
      </c>
      <c r="I10" s="7"/>
      <c r="J10" s="7"/>
    </row>
    <row r="11" spans="1:10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>
      <c r="B12" s="1" t="s">
        <v>63</v>
      </c>
      <c r="C12" s="13">
        <f>C$9*C$10*C$11*3600*24/10^6</f>
        <v>0</v>
      </c>
      <c r="D12" s="3" t="s">
        <v>3</v>
      </c>
      <c r="E12" s="1" t="s">
        <v>64</v>
      </c>
      <c r="I12" s="7"/>
      <c r="J12" s="7"/>
    </row>
    <row r="13" spans="1:10">
      <c r="B13" s="1" t="s">
        <v>51</v>
      </c>
      <c r="C13" s="8">
        <v>1</v>
      </c>
      <c r="D13" s="3" t="s">
        <v>19</v>
      </c>
      <c r="E13" s="1" t="s">
        <v>65</v>
      </c>
    </row>
    <row r="14" spans="1:10">
      <c r="B14" s="1" t="s">
        <v>58</v>
      </c>
      <c r="C14" s="2">
        <v>300</v>
      </c>
      <c r="D14" s="3" t="s">
        <v>25</v>
      </c>
      <c r="H14" s="7"/>
    </row>
    <row r="15" spans="1:10">
      <c r="B15" s="1" t="s">
        <v>61</v>
      </c>
      <c r="C15" s="2">
        <v>0.68</v>
      </c>
      <c r="D15" s="3"/>
      <c r="E15" s="1" t="s">
        <v>28</v>
      </c>
      <c r="H15" s="7"/>
    </row>
    <row r="16" spans="1:10">
      <c r="B16" s="1" t="s">
        <v>60</v>
      </c>
      <c r="C16" s="13">
        <f>C$14*C$15*C$13*3600*24/10^6</f>
        <v>17.625600000000002</v>
      </c>
      <c r="D16" s="3" t="s">
        <v>3</v>
      </c>
      <c r="E16" s="1" t="s">
        <v>66</v>
      </c>
      <c r="H16" s="7"/>
    </row>
    <row r="17" spans="1:10">
      <c r="B17" s="1" t="s">
        <v>53</v>
      </c>
      <c r="C17" s="13">
        <f>C$12+C$16</f>
        <v>17.625600000000002</v>
      </c>
      <c r="D17" s="3" t="s">
        <v>3</v>
      </c>
      <c r="E17" s="1" t="s">
        <v>54</v>
      </c>
      <c r="H17" s="7"/>
    </row>
    <row r="18" spans="1:10">
      <c r="B18" s="1" t="s">
        <v>4</v>
      </c>
      <c r="C18" s="2">
        <v>2.8</v>
      </c>
      <c r="D18" s="3" t="s">
        <v>0</v>
      </c>
      <c r="E18" s="1" t="s">
        <v>99</v>
      </c>
    </row>
    <row r="19" spans="1:10">
      <c r="C19" s="2"/>
      <c r="D19" s="3"/>
    </row>
    <row r="20" spans="1:10">
      <c r="A20" s="4" t="s">
        <v>39</v>
      </c>
      <c r="B20" s="1" t="s">
        <v>7</v>
      </c>
      <c r="C20" s="9">
        <v>1</v>
      </c>
      <c r="D20" s="3"/>
      <c r="E20" s="1" t="s">
        <v>29</v>
      </c>
      <c r="I20" s="7"/>
    </row>
    <row r="21" spans="1:10">
      <c r="B21" s="1" t="s">
        <v>8</v>
      </c>
      <c r="C21" s="9">
        <v>0.33</v>
      </c>
      <c r="D21" s="3"/>
      <c r="E21" s="1" t="s">
        <v>30</v>
      </c>
      <c r="J21" s="7"/>
    </row>
    <row r="22" spans="1:10">
      <c r="C22" s="2"/>
      <c r="D22" s="3"/>
    </row>
    <row r="23" spans="1:10">
      <c r="B23" s="1" t="s">
        <v>5</v>
      </c>
      <c r="C23" s="2">
        <v>10</v>
      </c>
      <c r="D23" s="3" t="s">
        <v>6</v>
      </c>
      <c r="F23" s="1" t="s">
        <v>0</v>
      </c>
    </row>
    <row r="24" spans="1:10">
      <c r="C24" s="2"/>
      <c r="D24" s="3"/>
    </row>
    <row r="25" spans="1:10" hidden="1">
      <c r="B25" s="1" t="s">
        <v>20</v>
      </c>
    </row>
    <row r="26" spans="1:10" hidden="1">
      <c r="A26" s="4" t="s">
        <v>45</v>
      </c>
    </row>
    <row r="27" spans="1:10" hidden="1">
      <c r="A27" s="4" t="s">
        <v>46</v>
      </c>
    </row>
    <row r="28" spans="1:10">
      <c r="B28" s="1" t="s">
        <v>13</v>
      </c>
      <c r="C28" s="10">
        <f>C3*C5</f>
        <v>3045.7036800000005</v>
      </c>
      <c r="D28" s="1" t="s">
        <v>14</v>
      </c>
    </row>
    <row r="29" spans="1:10">
      <c r="A29" s="4" t="s">
        <v>12</v>
      </c>
      <c r="B29" s="1" t="s">
        <v>40</v>
      </c>
      <c r="C29" s="10">
        <f>C28/C18</f>
        <v>1087.7513142857144</v>
      </c>
      <c r="D29" s="1" t="s">
        <v>14</v>
      </c>
      <c r="E29" s="1" t="s">
        <v>34</v>
      </c>
    </row>
    <row r="30" spans="1:10">
      <c r="B30" s="1" t="s">
        <v>15</v>
      </c>
      <c r="C30" s="10">
        <f>C29/C20</f>
        <v>1087.7513142857144</v>
      </c>
      <c r="D30" s="1" t="s">
        <v>14</v>
      </c>
      <c r="E30" s="1" t="s">
        <v>33</v>
      </c>
    </row>
    <row r="31" spans="1:10">
      <c r="B31" s="1" t="s">
        <v>16</v>
      </c>
      <c r="C31" s="10">
        <f>C30*C21</f>
        <v>358.95793371428579</v>
      </c>
      <c r="D31" s="1" t="s">
        <v>14</v>
      </c>
      <c r="E31" s="1" t="s">
        <v>36</v>
      </c>
    </row>
    <row r="32" spans="1:10">
      <c r="B32" s="1" t="s">
        <v>37</v>
      </c>
      <c r="C32" s="10">
        <f>C29+C31</f>
        <v>1446.7092480000001</v>
      </c>
      <c r="D32" s="1" t="s">
        <v>14</v>
      </c>
      <c r="E32" s="1" t="s">
        <v>41</v>
      </c>
    </row>
    <row r="34" spans="2:8">
      <c r="B34" s="1" t="s">
        <v>23</v>
      </c>
      <c r="C34" s="10">
        <f>C3/C18*(C6+C13)</f>
        <v>61.714285714285722</v>
      </c>
      <c r="D34" s="1" t="s">
        <v>22</v>
      </c>
      <c r="E34" s="1" t="s">
        <v>31</v>
      </c>
    </row>
    <row r="35" spans="2:8">
      <c r="B35" s="1" t="s">
        <v>24</v>
      </c>
      <c r="C35" s="10">
        <f>(C3)/C18*(C9+C13)</f>
        <v>61.714285714285722</v>
      </c>
      <c r="D35" s="1" t="s">
        <v>22</v>
      </c>
      <c r="E35" s="1" t="s">
        <v>32</v>
      </c>
      <c r="H35" s="1" t="s">
        <v>42</v>
      </c>
    </row>
    <row r="36" spans="2:8">
      <c r="B36" s="1" t="s">
        <v>43</v>
      </c>
      <c r="C36" s="10">
        <f>C35*C15*3600*24*3/1024/1024</f>
        <v>10.373604910714286</v>
      </c>
      <c r="D36" s="1" t="s">
        <v>14</v>
      </c>
      <c r="E36" s="1" t="s">
        <v>44</v>
      </c>
    </row>
    <row r="37" spans="2:8">
      <c r="B37" s="1" t="s">
        <v>17</v>
      </c>
      <c r="C37" s="10">
        <f>C5*C23/C20/60</f>
        <v>2.9376000000000007</v>
      </c>
      <c r="D37" s="1" t="s">
        <v>18</v>
      </c>
      <c r="E37" s="1" t="s">
        <v>48</v>
      </c>
    </row>
    <row r="38" spans="2:8">
      <c r="C38" s="10">
        <f>C37/365/24*1000</f>
        <v>0.33534246575342475</v>
      </c>
      <c r="D38" s="1" t="s">
        <v>56</v>
      </c>
    </row>
  </sheetData>
  <dataValidations count="1">
    <dataValidation type="list" allowBlank="1" showInputMessage="1" showErrorMessage="1" sqref="B25" xr:uid="{95AE76AC-D289-2E45-B4DE-07B6603FF6C9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B35D-DC81-BC4F-A5DC-8C8C9FA9157A}">
  <dimension ref="A1:N38"/>
  <sheetViews>
    <sheetView topLeftCell="A22" workbookViewId="0">
      <selection activeCell="C14" sqref="C14"/>
    </sheetView>
  </sheetViews>
  <sheetFormatPr baseColWidth="10" defaultRowHeight="24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4">
      <c r="A1" s="1" t="s">
        <v>0</v>
      </c>
      <c r="B1" s="1" t="s">
        <v>0</v>
      </c>
      <c r="C1" s="2" t="s">
        <v>1</v>
      </c>
      <c r="D1" s="3"/>
    </row>
    <row r="2" spans="1:14">
      <c r="A2" s="4" t="s">
        <v>21</v>
      </c>
      <c r="B2" s="14" t="s">
        <v>72</v>
      </c>
      <c r="C2" s="5" t="s">
        <v>0</v>
      </c>
      <c r="D2" s="6"/>
      <c r="E2" s="1" t="s">
        <v>35</v>
      </c>
    </row>
    <row r="3" spans="1:14">
      <c r="A3" s="4" t="s">
        <v>38</v>
      </c>
      <c r="B3" s="4"/>
      <c r="C3" s="5"/>
      <c r="D3" s="6"/>
    </row>
    <row r="4" spans="1:14">
      <c r="B4" s="1" t="s">
        <v>9</v>
      </c>
      <c r="C4" s="2">
        <v>110</v>
      </c>
      <c r="D4" s="3" t="s">
        <v>2</v>
      </c>
      <c r="E4" s="1" t="s">
        <v>0</v>
      </c>
      <c r="N4" s="27">
        <f>786*1000000/110</f>
        <v>7145454.5454545459</v>
      </c>
    </row>
    <row r="5" spans="1:14">
      <c r="B5" s="1" t="s">
        <v>11</v>
      </c>
      <c r="C5" s="13">
        <f>C17</f>
        <v>2.5920000000000001</v>
      </c>
      <c r="D5" s="3" t="s">
        <v>3</v>
      </c>
      <c r="E5" s="1" t="s">
        <v>47</v>
      </c>
      <c r="H5" s="7"/>
    </row>
    <row r="6" spans="1:14">
      <c r="B6" s="1" t="s">
        <v>10</v>
      </c>
      <c r="C6" s="2">
        <v>0</v>
      </c>
      <c r="D6" s="3" t="s">
        <v>19</v>
      </c>
      <c r="E6" s="1" t="s">
        <v>26</v>
      </c>
    </row>
    <row r="7" spans="1:14">
      <c r="B7" s="1" t="s">
        <v>49</v>
      </c>
      <c r="C7" s="8">
        <f>2*4.5/32</f>
        <v>0.28125</v>
      </c>
      <c r="D7" s="3"/>
      <c r="E7" s="1" t="s">
        <v>50</v>
      </c>
    </row>
    <row r="8" spans="1:14">
      <c r="B8" s="1" t="s">
        <v>52</v>
      </c>
      <c r="C8" s="11">
        <f>1-C7</f>
        <v>0.71875</v>
      </c>
      <c r="D8" s="3"/>
    </row>
    <row r="9" spans="1:14">
      <c r="B9" s="1" t="s">
        <v>59</v>
      </c>
      <c r="C9" s="12">
        <f>C7*C6</f>
        <v>0</v>
      </c>
      <c r="D9" s="3" t="s">
        <v>19</v>
      </c>
      <c r="E9" s="1" t="s">
        <v>27</v>
      </c>
      <c r="I9" s="7"/>
      <c r="J9" s="7"/>
    </row>
    <row r="10" spans="1:14">
      <c r="B10" s="1" t="s">
        <v>57</v>
      </c>
      <c r="C10" s="2">
        <v>0</v>
      </c>
      <c r="D10" s="3" t="s">
        <v>25</v>
      </c>
      <c r="I10" s="7"/>
      <c r="J10" s="7"/>
    </row>
    <row r="11" spans="1:14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4">
      <c r="B12" s="1" t="s">
        <v>63</v>
      </c>
      <c r="C12" s="13">
        <f>C$9*C$10*C$11*3600*24/10^6</f>
        <v>0</v>
      </c>
      <c r="D12" s="3" t="s">
        <v>3</v>
      </c>
      <c r="E12" s="1" t="s">
        <v>64</v>
      </c>
      <c r="I12" s="7"/>
      <c r="J12" s="7"/>
    </row>
    <row r="13" spans="1:14">
      <c r="B13" s="1" t="s">
        <v>51</v>
      </c>
      <c r="C13" s="8">
        <v>1</v>
      </c>
      <c r="D13" s="3" t="s">
        <v>19</v>
      </c>
      <c r="E13" s="1" t="s">
        <v>100</v>
      </c>
    </row>
    <row r="14" spans="1:14">
      <c r="B14" s="1" t="s">
        <v>58</v>
      </c>
      <c r="C14" s="2">
        <v>60</v>
      </c>
      <c r="D14" s="3" t="s">
        <v>25</v>
      </c>
      <c r="E14" s="1" t="s">
        <v>101</v>
      </c>
      <c r="H14" s="7"/>
    </row>
    <row r="15" spans="1:14">
      <c r="B15" s="1" t="s">
        <v>61</v>
      </c>
      <c r="C15" s="2">
        <v>0.5</v>
      </c>
      <c r="D15" s="3"/>
      <c r="E15" s="1" t="s">
        <v>28</v>
      </c>
      <c r="H15" s="7"/>
    </row>
    <row r="16" spans="1:14">
      <c r="B16" s="1" t="s">
        <v>60</v>
      </c>
      <c r="C16" s="13">
        <f>C$14*C$15*C$13*3600*24/10^6</f>
        <v>2.5920000000000001</v>
      </c>
      <c r="D16" s="3" t="s">
        <v>3</v>
      </c>
      <c r="E16" s="1" t="s">
        <v>66</v>
      </c>
      <c r="H16" s="7"/>
    </row>
    <row r="17" spans="1:10">
      <c r="B17" s="1" t="s">
        <v>53</v>
      </c>
      <c r="C17" s="13">
        <f>C$12+C$16</f>
        <v>2.5920000000000001</v>
      </c>
      <c r="D17" s="3" t="s">
        <v>3</v>
      </c>
      <c r="E17" s="1" t="s">
        <v>54</v>
      </c>
      <c r="H17" s="7"/>
    </row>
    <row r="18" spans="1:10">
      <c r="B18" s="1" t="s">
        <v>4</v>
      </c>
      <c r="C18" s="2">
        <v>1</v>
      </c>
      <c r="D18" s="3" t="s">
        <v>0</v>
      </c>
    </row>
    <row r="19" spans="1:10">
      <c r="A19" s="4" t="s">
        <v>39</v>
      </c>
      <c r="C19" s="2"/>
      <c r="D19" s="3"/>
    </row>
    <row r="20" spans="1:10">
      <c r="B20" s="1" t="s">
        <v>7</v>
      </c>
      <c r="C20" s="9">
        <v>1</v>
      </c>
      <c r="D20" s="3"/>
      <c r="E20" s="1" t="s">
        <v>29</v>
      </c>
      <c r="I20" s="7"/>
    </row>
    <row r="21" spans="1:10">
      <c r="B21" s="1" t="s">
        <v>8</v>
      </c>
      <c r="C21" s="9">
        <v>1.2</v>
      </c>
      <c r="D21" s="3"/>
      <c r="E21" s="1" t="s">
        <v>30</v>
      </c>
      <c r="J21" s="7"/>
    </row>
    <row r="22" spans="1:10">
      <c r="C22" s="2"/>
      <c r="D22" s="3"/>
    </row>
    <row r="23" spans="1:10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>
      <c r="C24" s="2"/>
      <c r="D24" s="3"/>
    </row>
    <row r="25" spans="1:10" hidden="1">
      <c r="A25" s="4" t="s">
        <v>45</v>
      </c>
      <c r="B25" s="1" t="s">
        <v>20</v>
      </c>
    </row>
    <row r="26" spans="1:10" hidden="1">
      <c r="A26" s="4" t="s">
        <v>46</v>
      </c>
    </row>
    <row r="28" spans="1:10">
      <c r="A28" s="4" t="s">
        <v>12</v>
      </c>
      <c r="B28" s="1" t="s">
        <v>13</v>
      </c>
      <c r="C28" s="10">
        <f>C4*C5</f>
        <v>285.12</v>
      </c>
      <c r="D28" s="1" t="s">
        <v>14</v>
      </c>
    </row>
    <row r="29" spans="1:10">
      <c r="B29" s="1" t="s">
        <v>40</v>
      </c>
      <c r="C29" s="10">
        <f>C28/C18</f>
        <v>285.12</v>
      </c>
      <c r="D29" s="1" t="s">
        <v>14</v>
      </c>
      <c r="E29" s="1" t="s">
        <v>34</v>
      </c>
    </row>
    <row r="30" spans="1:10">
      <c r="B30" s="1" t="s">
        <v>15</v>
      </c>
      <c r="C30" s="10">
        <f>C29/C20</f>
        <v>285.12</v>
      </c>
      <c r="D30" s="1" t="s">
        <v>14</v>
      </c>
      <c r="E30" s="1" t="s">
        <v>33</v>
      </c>
    </row>
    <row r="31" spans="1:10">
      <c r="B31" s="1" t="s">
        <v>16</v>
      </c>
      <c r="C31" s="10">
        <f>C30*C21</f>
        <v>342.14400000000001</v>
      </c>
      <c r="D31" s="1" t="s">
        <v>14</v>
      </c>
      <c r="E31" s="1" t="s">
        <v>36</v>
      </c>
    </row>
    <row r="32" spans="1:10">
      <c r="B32" s="1" t="s">
        <v>37</v>
      </c>
      <c r="C32" s="10">
        <f>C29+C31</f>
        <v>627.26400000000001</v>
      </c>
      <c r="D32" s="1" t="s">
        <v>14</v>
      </c>
      <c r="E32" s="1" t="s">
        <v>41</v>
      </c>
    </row>
    <row r="34" spans="2:8">
      <c r="B34" s="1" t="s">
        <v>23</v>
      </c>
      <c r="C34" s="10">
        <f>C4/C18*(C6+C13)</f>
        <v>110</v>
      </c>
      <c r="D34" s="1" t="s">
        <v>22</v>
      </c>
      <c r="E34" s="1" t="s">
        <v>31</v>
      </c>
    </row>
    <row r="35" spans="2:8">
      <c r="B35" s="1" t="s">
        <v>24</v>
      </c>
      <c r="C35" s="10">
        <f>C4/C18*(C9+C13)</f>
        <v>110</v>
      </c>
      <c r="D35" s="1" t="s">
        <v>22</v>
      </c>
      <c r="E35" s="1" t="s">
        <v>32</v>
      </c>
      <c r="H35" s="1" t="s">
        <v>42</v>
      </c>
    </row>
    <row r="36" spans="2:8">
      <c r="B36" s="1" t="s">
        <v>43</v>
      </c>
      <c r="C36" s="10">
        <f>C35*C15*3600*24*3/1024/1024</f>
        <v>13.5955810546875</v>
      </c>
      <c r="D36" s="1" t="s">
        <v>14</v>
      </c>
      <c r="E36" s="1" t="s">
        <v>44</v>
      </c>
    </row>
    <row r="37" spans="2:8">
      <c r="B37" s="1" t="s">
        <v>17</v>
      </c>
      <c r="C37" s="10">
        <f>C5*C23/C20/60</f>
        <v>0.43200000000000005</v>
      </c>
      <c r="D37" s="1" t="s">
        <v>18</v>
      </c>
      <c r="E37" s="1" t="s">
        <v>48</v>
      </c>
    </row>
    <row r="38" spans="2:8">
      <c r="C38" s="10">
        <f>C37/365/24*1000</f>
        <v>4.9315068493150691E-2</v>
      </c>
      <c r="D38" s="1" t="s">
        <v>56</v>
      </c>
    </row>
  </sheetData>
  <dataValidations count="1">
    <dataValidation type="list" allowBlank="1" showInputMessage="1" showErrorMessage="1" sqref="B25" xr:uid="{99F8B5D8-AE96-114C-8514-E401FC209047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E3D8-78E7-6843-8C02-361035F2F690}">
  <dimension ref="A1:J38"/>
  <sheetViews>
    <sheetView topLeftCell="A21" zoomScale="96" workbookViewId="0">
      <selection activeCell="C21" sqref="C21"/>
    </sheetView>
  </sheetViews>
  <sheetFormatPr baseColWidth="10" defaultRowHeight="24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>
      <c r="A1" s="1" t="s">
        <v>0</v>
      </c>
      <c r="B1" s="1" t="s">
        <v>0</v>
      </c>
      <c r="C1" s="2" t="s">
        <v>1</v>
      </c>
      <c r="D1" s="3"/>
    </row>
    <row r="2" spans="1:10">
      <c r="A2" s="4" t="s">
        <v>21</v>
      </c>
      <c r="B2" s="14" t="s">
        <v>70</v>
      </c>
      <c r="C2" s="5" t="s">
        <v>0</v>
      </c>
      <c r="D2" s="6"/>
      <c r="E2" s="1" t="s">
        <v>35</v>
      </c>
    </row>
    <row r="3" spans="1:10">
      <c r="A3" s="4" t="s">
        <v>38</v>
      </c>
      <c r="B3" s="1" t="s">
        <v>9</v>
      </c>
      <c r="C3" s="2">
        <f>230.4*C4/5*1.25</f>
        <v>172.8</v>
      </c>
      <c r="D3" s="3" t="s">
        <v>2</v>
      </c>
      <c r="E3" s="1" t="s">
        <v>55</v>
      </c>
    </row>
    <row r="4" spans="1:10">
      <c r="B4" s="1" t="s">
        <v>88</v>
      </c>
      <c r="C4" s="17">
        <v>3</v>
      </c>
      <c r="D4" s="3" t="s">
        <v>89</v>
      </c>
      <c r="H4" s="7"/>
    </row>
    <row r="5" spans="1:10">
      <c r="B5" s="1" t="s">
        <v>11</v>
      </c>
      <c r="C5" s="13">
        <f>C17</f>
        <v>6.48</v>
      </c>
      <c r="D5" s="3" t="s">
        <v>3</v>
      </c>
      <c r="E5" s="1" t="s">
        <v>47</v>
      </c>
      <c r="H5" s="7"/>
    </row>
    <row r="6" spans="1:10">
      <c r="B6" s="1" t="s">
        <v>10</v>
      </c>
      <c r="C6" s="2">
        <v>0</v>
      </c>
      <c r="D6" s="3" t="s">
        <v>19</v>
      </c>
      <c r="E6" s="1" t="s">
        <v>26</v>
      </c>
    </row>
    <row r="7" spans="1:10">
      <c r="B7" s="1" t="s">
        <v>49</v>
      </c>
      <c r="C7" s="8">
        <v>0</v>
      </c>
      <c r="D7" s="3"/>
      <c r="E7" s="1" t="s">
        <v>50</v>
      </c>
    </row>
    <row r="8" spans="1:10">
      <c r="B8" s="1" t="s">
        <v>52</v>
      </c>
      <c r="C8" s="11">
        <f>1-C7</f>
        <v>1</v>
      </c>
      <c r="D8" s="3"/>
    </row>
    <row r="9" spans="1:10">
      <c r="B9" s="1" t="s">
        <v>59</v>
      </c>
      <c r="C9" s="12">
        <f>C7*C6</f>
        <v>0</v>
      </c>
      <c r="D9" s="3" t="s">
        <v>19</v>
      </c>
      <c r="E9" s="1" t="s">
        <v>27</v>
      </c>
      <c r="I9" s="7"/>
      <c r="J9" s="7"/>
    </row>
    <row r="10" spans="1:10">
      <c r="B10" s="1" t="s">
        <v>57</v>
      </c>
      <c r="C10" s="2">
        <v>0</v>
      </c>
      <c r="D10" s="3" t="s">
        <v>25</v>
      </c>
      <c r="I10" s="7"/>
      <c r="J10" s="7"/>
    </row>
    <row r="11" spans="1:10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>
      <c r="B12" s="1" t="s">
        <v>63</v>
      </c>
      <c r="C12" s="13">
        <f>C$9*C$10*C$11*3600*24/10^6</f>
        <v>0</v>
      </c>
      <c r="D12" s="3" t="s">
        <v>3</v>
      </c>
      <c r="E12" s="1" t="s">
        <v>64</v>
      </c>
      <c r="I12" s="7"/>
      <c r="J12" s="7"/>
    </row>
    <row r="13" spans="1:10">
      <c r="B13" s="1" t="s">
        <v>51</v>
      </c>
      <c r="C13" s="8">
        <v>1</v>
      </c>
      <c r="D13" s="3" t="s">
        <v>19</v>
      </c>
      <c r="E13" s="1" t="s">
        <v>65</v>
      </c>
    </row>
    <row r="14" spans="1:10">
      <c r="B14" s="1" t="s">
        <v>58</v>
      </c>
      <c r="C14" s="2">
        <v>150</v>
      </c>
      <c r="D14" s="3" t="s">
        <v>25</v>
      </c>
      <c r="H14" s="7"/>
    </row>
    <row r="15" spans="1:10">
      <c r="B15" s="1" t="s">
        <v>61</v>
      </c>
      <c r="C15" s="2">
        <v>0.5</v>
      </c>
      <c r="D15" s="3"/>
      <c r="E15" s="1" t="s">
        <v>28</v>
      </c>
      <c r="H15" s="7"/>
    </row>
    <row r="16" spans="1:10">
      <c r="B16" s="1" t="s">
        <v>60</v>
      </c>
      <c r="C16" s="13">
        <f>C$14*C$15*C$13*3600*24/10^6</f>
        <v>6.48</v>
      </c>
      <c r="D16" s="3" t="s">
        <v>3</v>
      </c>
      <c r="E16" s="1" t="s">
        <v>66</v>
      </c>
      <c r="H16" s="7"/>
    </row>
    <row r="17" spans="1:10">
      <c r="B17" s="1" t="s">
        <v>53</v>
      </c>
      <c r="C17" s="13">
        <f>C$12+C$16</f>
        <v>6.48</v>
      </c>
      <c r="D17" s="3" t="s">
        <v>3</v>
      </c>
      <c r="E17" s="1" t="s">
        <v>54</v>
      </c>
      <c r="H17" s="7"/>
    </row>
    <row r="18" spans="1:10">
      <c r="B18" s="1" t="s">
        <v>4</v>
      </c>
      <c r="C18" s="2">
        <v>2.5</v>
      </c>
      <c r="D18" s="3" t="s">
        <v>0</v>
      </c>
    </row>
    <row r="19" spans="1:10">
      <c r="A19" s="4" t="s">
        <v>39</v>
      </c>
      <c r="C19" s="2"/>
      <c r="D19" s="3"/>
    </row>
    <row r="20" spans="1:10">
      <c r="B20" s="1" t="s">
        <v>7</v>
      </c>
      <c r="C20" s="9">
        <v>1</v>
      </c>
      <c r="D20" s="3"/>
      <c r="E20" s="1" t="s">
        <v>29</v>
      </c>
      <c r="I20" s="7"/>
    </row>
    <row r="21" spans="1:10">
      <c r="B21" s="1" t="s">
        <v>8</v>
      </c>
      <c r="C21" s="9">
        <v>0.3</v>
      </c>
      <c r="D21" s="3"/>
      <c r="E21" s="1" t="s">
        <v>30</v>
      </c>
      <c r="J21" s="7"/>
    </row>
    <row r="22" spans="1:10">
      <c r="C22" s="2"/>
      <c r="D22" s="3"/>
    </row>
    <row r="23" spans="1:10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>
      <c r="C24" s="2"/>
      <c r="D24" s="3"/>
    </row>
    <row r="25" spans="1:10" hidden="1">
      <c r="A25" s="4" t="s">
        <v>45</v>
      </c>
      <c r="B25" s="1" t="s">
        <v>20</v>
      </c>
    </row>
    <row r="26" spans="1:10" hidden="1">
      <c r="A26" s="4" t="s">
        <v>46</v>
      </c>
    </row>
    <row r="28" spans="1:10">
      <c r="A28" s="4" t="s">
        <v>12</v>
      </c>
      <c r="B28" s="1" t="s">
        <v>13</v>
      </c>
      <c r="C28" s="10">
        <f>C3*C5</f>
        <v>1119.7440000000001</v>
      </c>
      <c r="D28" s="1" t="s">
        <v>14</v>
      </c>
    </row>
    <row r="29" spans="1:10">
      <c r="B29" s="1" t="s">
        <v>40</v>
      </c>
      <c r="C29" s="10">
        <f>C28/C18</f>
        <v>447.89760000000007</v>
      </c>
      <c r="D29" s="1" t="s">
        <v>14</v>
      </c>
      <c r="E29" s="1" t="s">
        <v>34</v>
      </c>
    </row>
    <row r="30" spans="1:10">
      <c r="B30" s="1" t="s">
        <v>15</v>
      </c>
      <c r="C30" s="10">
        <f>C29/C20</f>
        <v>447.89760000000007</v>
      </c>
      <c r="D30" s="1" t="s">
        <v>14</v>
      </c>
      <c r="E30" s="1" t="s">
        <v>33</v>
      </c>
    </row>
    <row r="31" spans="1:10">
      <c r="B31" s="1" t="s">
        <v>16</v>
      </c>
      <c r="C31" s="10">
        <f>C30*C21</f>
        <v>134.36928</v>
      </c>
      <c r="D31" s="1" t="s">
        <v>14</v>
      </c>
      <c r="E31" s="1" t="s">
        <v>36</v>
      </c>
    </row>
    <row r="32" spans="1:10">
      <c r="B32" s="1" t="s">
        <v>37</v>
      </c>
      <c r="C32" s="10">
        <f>C29+C31</f>
        <v>582.26688000000013</v>
      </c>
      <c r="D32" s="1" t="s">
        <v>14</v>
      </c>
      <c r="E32" s="1" t="s">
        <v>41</v>
      </c>
    </row>
    <row r="34" spans="2:8">
      <c r="B34" s="1" t="s">
        <v>23</v>
      </c>
      <c r="C34" s="10">
        <f>C3/C18*(C6+C13)</f>
        <v>69.12</v>
      </c>
      <c r="D34" s="1" t="s">
        <v>22</v>
      </c>
      <c r="E34" s="1" t="s">
        <v>31</v>
      </c>
    </row>
    <row r="35" spans="2:8">
      <c r="B35" s="1" t="s">
        <v>24</v>
      </c>
      <c r="C35" s="10">
        <f>C4/C18*(C9+C13)</f>
        <v>1.2</v>
      </c>
      <c r="D35" s="1" t="s">
        <v>22</v>
      </c>
      <c r="E35" s="1" t="s">
        <v>32</v>
      </c>
      <c r="H35" s="1" t="s">
        <v>42</v>
      </c>
    </row>
    <row r="36" spans="2:8">
      <c r="B36" s="1" t="s">
        <v>43</v>
      </c>
      <c r="C36" s="10">
        <f>C35*C15*3600*24*3/1024/1024</f>
        <v>0.1483154296875</v>
      </c>
      <c r="D36" s="1" t="s">
        <v>14</v>
      </c>
      <c r="E36" s="1" t="s">
        <v>44</v>
      </c>
    </row>
    <row r="37" spans="2:8">
      <c r="B37" s="1" t="s">
        <v>17</v>
      </c>
      <c r="C37" s="10">
        <f>C5*C23/C20/60</f>
        <v>1.0800000000000003</v>
      </c>
      <c r="D37" s="1" t="s">
        <v>18</v>
      </c>
      <c r="E37" s="1" t="s">
        <v>48</v>
      </c>
    </row>
    <row r="38" spans="2:8">
      <c r="C38" s="10">
        <f>C37/365/24*1000</f>
        <v>0.12328767123287673</v>
      </c>
      <c r="D38" s="1" t="s">
        <v>56</v>
      </c>
    </row>
  </sheetData>
  <dataValidations disablePrompts="1" count="1">
    <dataValidation type="list" allowBlank="1" showInputMessage="1" showErrorMessage="1" sqref="B25" xr:uid="{F6A7D0E7-291C-A64D-8BC8-640E9015B70C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1F8F-A75C-7C4C-BE14-40A4080121F8}">
  <dimension ref="A1:J38"/>
  <sheetViews>
    <sheetView topLeftCell="A27" workbookViewId="0">
      <selection activeCell="C22" sqref="C22"/>
    </sheetView>
  </sheetViews>
  <sheetFormatPr baseColWidth="10" defaultRowHeight="24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>
      <c r="A1" s="1" t="s">
        <v>0</v>
      </c>
      <c r="B1" s="1" t="s">
        <v>0</v>
      </c>
      <c r="C1" s="2" t="s">
        <v>1</v>
      </c>
      <c r="D1" s="3"/>
    </row>
    <row r="2" spans="1:10">
      <c r="A2" s="4" t="s">
        <v>21</v>
      </c>
      <c r="B2" s="14" t="s">
        <v>73</v>
      </c>
      <c r="C2" s="5" t="s">
        <v>0</v>
      </c>
      <c r="D2" s="6"/>
      <c r="E2" s="1" t="s">
        <v>35</v>
      </c>
    </row>
    <row r="3" spans="1:10">
      <c r="A3" s="4" t="s">
        <v>38</v>
      </c>
      <c r="B3" s="4"/>
      <c r="C3" s="5"/>
      <c r="D3" s="6"/>
    </row>
    <row r="4" spans="1:10">
      <c r="B4" s="1" t="s">
        <v>9</v>
      </c>
      <c r="C4" s="2">
        <v>110</v>
      </c>
      <c r="D4" s="3" t="s">
        <v>2</v>
      </c>
      <c r="E4" s="1" t="s">
        <v>55</v>
      </c>
    </row>
    <row r="5" spans="1:10">
      <c r="B5" s="1" t="s">
        <v>11</v>
      </c>
      <c r="C5" s="13">
        <f>C17</f>
        <v>21.6</v>
      </c>
      <c r="D5" s="3" t="s">
        <v>3</v>
      </c>
      <c r="E5" s="1" t="s">
        <v>47</v>
      </c>
      <c r="H5" s="7"/>
    </row>
    <row r="6" spans="1:10">
      <c r="B6" s="1" t="s">
        <v>10</v>
      </c>
      <c r="C6" s="2">
        <v>0</v>
      </c>
      <c r="D6" s="3" t="s">
        <v>19</v>
      </c>
      <c r="E6" s="1" t="s">
        <v>26</v>
      </c>
    </row>
    <row r="7" spans="1:10">
      <c r="B7" s="1" t="s">
        <v>49</v>
      </c>
      <c r="C7" s="8">
        <f>2*4.5/32</f>
        <v>0.28125</v>
      </c>
      <c r="D7" s="3"/>
      <c r="E7" s="1" t="s">
        <v>50</v>
      </c>
    </row>
    <row r="8" spans="1:10">
      <c r="B8" s="1" t="s">
        <v>52</v>
      </c>
      <c r="C8" s="11">
        <f>1-C7</f>
        <v>0.71875</v>
      </c>
      <c r="D8" s="3"/>
    </row>
    <row r="9" spans="1:10">
      <c r="B9" s="1" t="s">
        <v>59</v>
      </c>
      <c r="C9" s="12">
        <f>C7*C6</f>
        <v>0</v>
      </c>
      <c r="D9" s="3" t="s">
        <v>19</v>
      </c>
      <c r="E9" s="1" t="s">
        <v>27</v>
      </c>
      <c r="I9" s="7"/>
      <c r="J9" s="7"/>
    </row>
    <row r="10" spans="1:10">
      <c r="B10" s="1" t="s">
        <v>57</v>
      </c>
      <c r="C10" s="2">
        <v>0</v>
      </c>
      <c r="D10" s="3" t="s">
        <v>25</v>
      </c>
      <c r="I10" s="7"/>
      <c r="J10" s="7"/>
    </row>
    <row r="11" spans="1:10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>
      <c r="B12" s="1" t="s">
        <v>63</v>
      </c>
      <c r="C12" s="13">
        <f>C$9*C$10*C$11*3600*24/10^6</f>
        <v>0</v>
      </c>
      <c r="D12" s="3" t="s">
        <v>3</v>
      </c>
      <c r="E12" s="1" t="s">
        <v>64</v>
      </c>
      <c r="I12" s="7"/>
      <c r="J12" s="7"/>
    </row>
    <row r="13" spans="1:10">
      <c r="B13" s="1" t="s">
        <v>51</v>
      </c>
      <c r="C13" s="8">
        <v>5</v>
      </c>
      <c r="D13" s="3" t="s">
        <v>19</v>
      </c>
      <c r="E13" s="1" t="s">
        <v>65</v>
      </c>
    </row>
    <row r="14" spans="1:10">
      <c r="B14" s="1" t="s">
        <v>58</v>
      </c>
      <c r="C14" s="2">
        <v>100</v>
      </c>
      <c r="D14" s="3" t="s">
        <v>25</v>
      </c>
      <c r="H14" s="7"/>
    </row>
    <row r="15" spans="1:10">
      <c r="B15" s="1" t="s">
        <v>61</v>
      </c>
      <c r="C15" s="2">
        <v>0.5</v>
      </c>
      <c r="D15" s="3"/>
      <c r="E15" s="1" t="s">
        <v>28</v>
      </c>
      <c r="H15" s="7"/>
    </row>
    <row r="16" spans="1:10">
      <c r="B16" s="1" t="s">
        <v>60</v>
      </c>
      <c r="C16" s="13">
        <f>C$14*C$15*C$13*3600*24/10^6</f>
        <v>21.6</v>
      </c>
      <c r="D16" s="3" t="s">
        <v>3</v>
      </c>
      <c r="E16" s="1" t="s">
        <v>66</v>
      </c>
      <c r="H16" s="7"/>
    </row>
    <row r="17" spans="1:10">
      <c r="B17" s="1" t="s">
        <v>53</v>
      </c>
      <c r="C17" s="13">
        <f>C$12+C$16</f>
        <v>21.6</v>
      </c>
      <c r="D17" s="3" t="s">
        <v>3</v>
      </c>
      <c r="E17" s="1" t="s">
        <v>54</v>
      </c>
      <c r="H17" s="7"/>
    </row>
    <row r="18" spans="1:10">
      <c r="B18" s="1" t="s">
        <v>4</v>
      </c>
      <c r="C18" s="2">
        <v>10</v>
      </c>
      <c r="D18" s="3" t="s">
        <v>0</v>
      </c>
    </row>
    <row r="19" spans="1:10">
      <c r="A19" s="4" t="s">
        <v>39</v>
      </c>
      <c r="C19" s="2"/>
      <c r="D19" s="3"/>
    </row>
    <row r="20" spans="1:10">
      <c r="B20" s="1" t="s">
        <v>7</v>
      </c>
      <c r="C20" s="9">
        <v>1</v>
      </c>
      <c r="D20" s="3"/>
      <c r="E20" s="1" t="s">
        <v>29</v>
      </c>
      <c r="I20" s="7"/>
    </row>
    <row r="21" spans="1:10">
      <c r="B21" s="1" t="s">
        <v>8</v>
      </c>
      <c r="C21" s="9">
        <v>1.3</v>
      </c>
      <c r="D21" s="3"/>
      <c r="E21" s="1" t="s">
        <v>30</v>
      </c>
      <c r="J21" s="7"/>
    </row>
    <row r="22" spans="1:10">
      <c r="C22" s="2"/>
      <c r="D22" s="3"/>
    </row>
    <row r="23" spans="1:10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>
      <c r="C24" s="2"/>
      <c r="D24" s="3"/>
    </row>
    <row r="25" spans="1:10" hidden="1">
      <c r="A25" s="4" t="s">
        <v>45</v>
      </c>
      <c r="B25" s="1" t="s">
        <v>20</v>
      </c>
    </row>
    <row r="26" spans="1:10" hidden="1">
      <c r="A26" s="4" t="s">
        <v>46</v>
      </c>
    </row>
    <row r="28" spans="1:10">
      <c r="A28" s="4" t="s">
        <v>12</v>
      </c>
      <c r="B28" s="1" t="s">
        <v>13</v>
      </c>
      <c r="C28" s="10">
        <f>C4*C5</f>
        <v>2376</v>
      </c>
      <c r="D28" s="1" t="s">
        <v>14</v>
      </c>
    </row>
    <row r="29" spans="1:10">
      <c r="B29" s="1" t="s">
        <v>40</v>
      </c>
      <c r="C29" s="10">
        <f>C28/C18</f>
        <v>237.6</v>
      </c>
      <c r="D29" s="1" t="s">
        <v>14</v>
      </c>
      <c r="E29" s="1" t="s">
        <v>34</v>
      </c>
    </row>
    <row r="30" spans="1:10">
      <c r="B30" s="1" t="s">
        <v>15</v>
      </c>
      <c r="C30" s="10">
        <f>C29/C20</f>
        <v>237.6</v>
      </c>
      <c r="D30" s="1" t="s">
        <v>14</v>
      </c>
      <c r="E30" s="1" t="s">
        <v>33</v>
      </c>
    </row>
    <row r="31" spans="1:10">
      <c r="B31" s="1" t="s">
        <v>16</v>
      </c>
      <c r="C31" s="10">
        <f>C30*C21</f>
        <v>308.88</v>
      </c>
      <c r="D31" s="1" t="s">
        <v>14</v>
      </c>
      <c r="E31" s="1" t="s">
        <v>36</v>
      </c>
    </row>
    <row r="32" spans="1:10">
      <c r="B32" s="1" t="s">
        <v>37</v>
      </c>
      <c r="C32" s="10">
        <f>C29+C31</f>
        <v>546.48</v>
      </c>
      <c r="D32" s="1" t="s">
        <v>14</v>
      </c>
      <c r="E32" s="1" t="s">
        <v>41</v>
      </c>
    </row>
    <row r="34" spans="2:8">
      <c r="B34" s="1" t="s">
        <v>23</v>
      </c>
      <c r="C34" s="10">
        <f>C4/C18*C6</f>
        <v>0</v>
      </c>
      <c r="D34" s="1" t="s">
        <v>22</v>
      </c>
      <c r="E34" s="1" t="s">
        <v>31</v>
      </c>
    </row>
    <row r="35" spans="2:8">
      <c r="B35" s="1" t="s">
        <v>24</v>
      </c>
      <c r="C35" s="10">
        <f>C4/C18*C9</f>
        <v>0</v>
      </c>
      <c r="D35" s="1" t="s">
        <v>22</v>
      </c>
      <c r="E35" s="1" t="s">
        <v>32</v>
      </c>
      <c r="H35" s="1" t="s">
        <v>42</v>
      </c>
    </row>
    <row r="36" spans="2:8">
      <c r="B36" s="1" t="s">
        <v>43</v>
      </c>
      <c r="C36" s="10">
        <f>C35*C15*3600*24*3/1024/1024</f>
        <v>0</v>
      </c>
      <c r="D36" s="1" t="s">
        <v>14</v>
      </c>
      <c r="E36" s="1" t="s">
        <v>44</v>
      </c>
    </row>
    <row r="37" spans="2:8">
      <c r="B37" s="1" t="s">
        <v>17</v>
      </c>
      <c r="C37" s="10">
        <f>C5*C23/C20/60</f>
        <v>3.6</v>
      </c>
      <c r="D37" s="1" t="s">
        <v>18</v>
      </c>
      <c r="E37" s="1" t="s">
        <v>48</v>
      </c>
    </row>
    <row r="38" spans="2:8">
      <c r="C38" s="10">
        <f>C37/365/24*1000</f>
        <v>0.41095890410958902</v>
      </c>
      <c r="D38" s="1" t="s">
        <v>56</v>
      </c>
    </row>
  </sheetData>
  <dataValidations count="1">
    <dataValidation type="list" allowBlank="1" showInputMessage="1" showErrorMessage="1" sqref="B25" xr:uid="{5E1FE525-F9CF-954F-829E-7623821EF4E9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1207-5437-F54F-ADE4-CB94D8F3FBF4}">
  <dimension ref="A1:J38"/>
  <sheetViews>
    <sheetView topLeftCell="A7" zoomScale="150" workbookViewId="0">
      <selection activeCell="C11" sqref="A1:XFD1048576"/>
    </sheetView>
  </sheetViews>
  <sheetFormatPr baseColWidth="10" defaultRowHeight="24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>
      <c r="A1" s="1" t="s">
        <v>0</v>
      </c>
      <c r="B1" s="1" t="s">
        <v>0</v>
      </c>
      <c r="C1" s="2" t="s">
        <v>1</v>
      </c>
      <c r="D1" s="3"/>
    </row>
    <row r="2" spans="1:10">
      <c r="A2" s="4" t="s">
        <v>21</v>
      </c>
      <c r="B2" s="14" t="s">
        <v>71</v>
      </c>
      <c r="C2" s="5" t="s">
        <v>0</v>
      </c>
      <c r="D2" s="6"/>
      <c r="E2" s="1" t="s">
        <v>35</v>
      </c>
    </row>
    <row r="3" spans="1:10">
      <c r="A3" s="4" t="s">
        <v>38</v>
      </c>
      <c r="B3" s="1" t="s">
        <v>9</v>
      </c>
      <c r="C3" s="2">
        <f>230.4*1.25*C4/5</f>
        <v>172.8</v>
      </c>
      <c r="D3" s="3" t="s">
        <v>2</v>
      </c>
      <c r="E3" s="1" t="s">
        <v>55</v>
      </c>
    </row>
    <row r="4" spans="1:10">
      <c r="A4" s="4" t="s">
        <v>0</v>
      </c>
      <c r="B4" s="4" t="s">
        <v>88</v>
      </c>
      <c r="C4" s="5">
        <v>3</v>
      </c>
      <c r="D4" s="6" t="s">
        <v>89</v>
      </c>
    </row>
    <row r="5" spans="1:10">
      <c r="B5" s="1" t="s">
        <v>11</v>
      </c>
      <c r="C5" s="13">
        <f>C17</f>
        <v>23.490000000000002</v>
      </c>
      <c r="D5" s="3" t="s">
        <v>3</v>
      </c>
      <c r="E5" s="1" t="s">
        <v>47</v>
      </c>
      <c r="H5" s="7"/>
    </row>
    <row r="6" spans="1:10">
      <c r="B6" s="1" t="s">
        <v>10</v>
      </c>
      <c r="C6" s="2">
        <v>20</v>
      </c>
      <c r="D6" s="3" t="s">
        <v>19</v>
      </c>
      <c r="E6" s="1" t="s">
        <v>26</v>
      </c>
    </row>
    <row r="7" spans="1:10">
      <c r="B7" s="1" t="s">
        <v>49</v>
      </c>
      <c r="C7" s="8">
        <f>2*4.5/32</f>
        <v>0.28125</v>
      </c>
      <c r="D7" s="3"/>
      <c r="E7" s="1" t="s">
        <v>50</v>
      </c>
    </row>
    <row r="8" spans="1:10">
      <c r="B8" s="1" t="s">
        <v>52</v>
      </c>
      <c r="C8" s="11">
        <f>1-C7</f>
        <v>0.71875</v>
      </c>
      <c r="D8" s="3"/>
    </row>
    <row r="9" spans="1:10">
      <c r="B9" s="1" t="s">
        <v>59</v>
      </c>
      <c r="C9" s="12">
        <f>C7*C6</f>
        <v>5.625</v>
      </c>
      <c r="D9" s="3" t="s">
        <v>19</v>
      </c>
      <c r="E9" s="1" t="s">
        <v>27</v>
      </c>
      <c r="I9" s="7"/>
      <c r="J9" s="7"/>
    </row>
    <row r="10" spans="1:10">
      <c r="B10" s="1" t="s">
        <v>57</v>
      </c>
      <c r="C10" s="2">
        <v>50</v>
      </c>
      <c r="D10" s="3" t="s">
        <v>25</v>
      </c>
      <c r="I10" s="7"/>
      <c r="J10" s="7"/>
    </row>
    <row r="11" spans="1:10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>
      <c r="B12" s="1" t="s">
        <v>63</v>
      </c>
      <c r="C12" s="13">
        <f>C$9*C$10*C$11*3600*24/10^6</f>
        <v>17.010000000000002</v>
      </c>
      <c r="D12" s="3" t="s">
        <v>3</v>
      </c>
      <c r="E12" s="1" t="s">
        <v>64</v>
      </c>
      <c r="I12" s="7"/>
      <c r="J12" s="7"/>
    </row>
    <row r="13" spans="1:10">
      <c r="B13" s="1" t="s">
        <v>51</v>
      </c>
      <c r="C13" s="8">
        <v>1</v>
      </c>
      <c r="D13" s="3" t="s">
        <v>19</v>
      </c>
      <c r="E13" s="1" t="s">
        <v>65</v>
      </c>
    </row>
    <row r="14" spans="1:10">
      <c r="B14" s="1" t="s">
        <v>58</v>
      </c>
      <c r="C14" s="2">
        <v>150</v>
      </c>
      <c r="D14" s="3" t="s">
        <v>25</v>
      </c>
      <c r="H14" s="7"/>
    </row>
    <row r="15" spans="1:10">
      <c r="B15" s="1" t="s">
        <v>61</v>
      </c>
      <c r="C15" s="2">
        <v>0.5</v>
      </c>
      <c r="D15" s="3"/>
      <c r="E15" s="1" t="s">
        <v>28</v>
      </c>
      <c r="H15" s="7"/>
    </row>
    <row r="16" spans="1:10">
      <c r="B16" s="1" t="s">
        <v>60</v>
      </c>
      <c r="C16" s="13">
        <f>C$14*C$15*C$13*3600*24/10^6</f>
        <v>6.48</v>
      </c>
      <c r="D16" s="3" t="s">
        <v>3</v>
      </c>
      <c r="E16" s="1" t="s">
        <v>66</v>
      </c>
      <c r="H16" s="7"/>
    </row>
    <row r="17" spans="1:10">
      <c r="B17" s="1" t="s">
        <v>53</v>
      </c>
      <c r="C17" s="13">
        <f>C$12+C$16</f>
        <v>23.490000000000002</v>
      </c>
      <c r="D17" s="3" t="s">
        <v>3</v>
      </c>
      <c r="E17" s="1" t="s">
        <v>54</v>
      </c>
      <c r="H17" s="7"/>
    </row>
    <row r="18" spans="1:10">
      <c r="B18" s="1" t="s">
        <v>4</v>
      </c>
      <c r="C18" s="2">
        <v>2.5</v>
      </c>
      <c r="D18" s="3" t="s">
        <v>0</v>
      </c>
    </row>
    <row r="19" spans="1:10">
      <c r="A19" s="4" t="s">
        <v>39</v>
      </c>
      <c r="C19" s="2"/>
      <c r="D19" s="3"/>
    </row>
    <row r="20" spans="1:10">
      <c r="B20" s="1" t="s">
        <v>7</v>
      </c>
      <c r="C20" s="9">
        <v>1</v>
      </c>
      <c r="D20" s="3"/>
      <c r="E20" s="1" t="s">
        <v>29</v>
      </c>
      <c r="I20" s="7"/>
    </row>
    <row r="21" spans="1:10">
      <c r="B21" s="1" t="s">
        <v>8</v>
      </c>
      <c r="C21" s="9">
        <v>0.3</v>
      </c>
      <c r="D21" s="3"/>
      <c r="E21" s="1" t="s">
        <v>30</v>
      </c>
      <c r="J21" s="7"/>
    </row>
    <row r="22" spans="1:10">
      <c r="C22" s="2"/>
      <c r="D22" s="3"/>
    </row>
    <row r="23" spans="1:10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>
      <c r="C24" s="2"/>
      <c r="D24" s="3"/>
    </row>
    <row r="25" spans="1:10" hidden="1">
      <c r="A25" s="4" t="s">
        <v>45</v>
      </c>
      <c r="B25" s="1" t="s">
        <v>20</v>
      </c>
    </row>
    <row r="26" spans="1:10" hidden="1">
      <c r="A26" s="4" t="s">
        <v>46</v>
      </c>
    </row>
    <row r="28" spans="1:10">
      <c r="A28" s="4" t="s">
        <v>12</v>
      </c>
      <c r="B28" s="1" t="s">
        <v>13</v>
      </c>
      <c r="C28" s="10">
        <f>C3*C5</f>
        <v>4059.0720000000006</v>
      </c>
      <c r="D28" s="1" t="s">
        <v>14</v>
      </c>
    </row>
    <row r="29" spans="1:10">
      <c r="B29" s="1" t="s">
        <v>40</v>
      </c>
      <c r="C29" s="10">
        <f>C28/C18</f>
        <v>1623.6288000000002</v>
      </c>
      <c r="D29" s="1" t="s">
        <v>14</v>
      </c>
      <c r="E29" s="1" t="s">
        <v>34</v>
      </c>
    </row>
    <row r="30" spans="1:10">
      <c r="B30" s="1" t="s">
        <v>15</v>
      </c>
      <c r="C30" s="10">
        <f>C29/C20</f>
        <v>1623.6288000000002</v>
      </c>
      <c r="D30" s="1" t="s">
        <v>14</v>
      </c>
      <c r="E30" s="1" t="s">
        <v>33</v>
      </c>
    </row>
    <row r="31" spans="1:10">
      <c r="B31" s="1" t="s">
        <v>16</v>
      </c>
      <c r="C31" s="10">
        <f>C30*C21</f>
        <v>487.08864000000005</v>
      </c>
      <c r="D31" s="1" t="s">
        <v>14</v>
      </c>
      <c r="E31" s="1" t="s">
        <v>36</v>
      </c>
    </row>
    <row r="32" spans="1:10">
      <c r="B32" s="1" t="s">
        <v>37</v>
      </c>
      <c r="C32" s="10">
        <f>C29+C31</f>
        <v>2110.7174400000004</v>
      </c>
      <c r="D32" s="1" t="s">
        <v>14</v>
      </c>
      <c r="E32" s="1" t="s">
        <v>41</v>
      </c>
    </row>
    <row r="34" spans="2:8">
      <c r="B34" s="1" t="s">
        <v>23</v>
      </c>
      <c r="C34" s="10">
        <f>C3/C18*(C6+C13)</f>
        <v>1451.52</v>
      </c>
      <c r="D34" s="1" t="s">
        <v>22</v>
      </c>
      <c r="E34" s="1" t="s">
        <v>31</v>
      </c>
    </row>
    <row r="35" spans="2:8">
      <c r="B35" s="1" t="s">
        <v>24</v>
      </c>
      <c r="C35" s="10">
        <f>C3/C18*(C9+C13)</f>
        <v>457.92</v>
      </c>
      <c r="D35" s="1" t="s">
        <v>22</v>
      </c>
      <c r="E35" s="1" t="s">
        <v>32</v>
      </c>
      <c r="H35" s="1" t="s">
        <v>42</v>
      </c>
    </row>
    <row r="36" spans="2:8">
      <c r="B36" s="1" t="s">
        <v>43</v>
      </c>
      <c r="C36" s="10">
        <f>C35*C15*3600*24*3/1024/1024</f>
        <v>56.59716796875</v>
      </c>
      <c r="D36" s="1" t="s">
        <v>14</v>
      </c>
      <c r="E36" s="1" t="s">
        <v>44</v>
      </c>
    </row>
    <row r="37" spans="2:8">
      <c r="B37" s="1" t="s">
        <v>17</v>
      </c>
      <c r="C37" s="10">
        <f>C5*C23/C20/60</f>
        <v>3.9150000000000005</v>
      </c>
      <c r="D37" s="1" t="s">
        <v>18</v>
      </c>
      <c r="E37" s="1" t="s">
        <v>48</v>
      </c>
    </row>
    <row r="38" spans="2:8">
      <c r="C38" s="10">
        <f>C37/365/24*1000</f>
        <v>0.4469178082191782</v>
      </c>
      <c r="D38" s="1" t="s">
        <v>56</v>
      </c>
    </row>
  </sheetData>
  <dataValidations disablePrompts="1" count="1">
    <dataValidation type="list" allowBlank="1" showInputMessage="1" showErrorMessage="1" sqref="B25" xr:uid="{8B94498E-7BD0-684D-8B38-9FC3CD723666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A6DD-9DF5-1D48-8681-DBE7AE80DCEA}">
  <dimension ref="A1:J38"/>
  <sheetViews>
    <sheetView topLeftCell="A22" workbookViewId="0">
      <selection activeCell="G41" sqref="A1:XFD1048576"/>
    </sheetView>
  </sheetViews>
  <sheetFormatPr baseColWidth="10" defaultRowHeight="24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>
      <c r="A1" s="1" t="s">
        <v>0</v>
      </c>
      <c r="B1" s="1" t="s">
        <v>0</v>
      </c>
      <c r="C1" s="2" t="s">
        <v>1</v>
      </c>
      <c r="D1" s="3"/>
    </row>
    <row r="2" spans="1:10">
      <c r="A2" s="4" t="s">
        <v>21</v>
      </c>
      <c r="B2" s="14" t="s">
        <v>75</v>
      </c>
      <c r="C2" s="5" t="s">
        <v>0</v>
      </c>
      <c r="D2" s="6"/>
      <c r="E2" s="1" t="s">
        <v>35</v>
      </c>
    </row>
    <row r="3" spans="1:10">
      <c r="A3" s="4" t="s">
        <v>38</v>
      </c>
      <c r="B3" s="4"/>
      <c r="C3" s="5"/>
      <c r="D3" s="6"/>
    </row>
    <row r="4" spans="1:10">
      <c r="B4" s="1" t="s">
        <v>9</v>
      </c>
      <c r="C4" s="2">
        <v>110</v>
      </c>
      <c r="D4" s="3" t="s">
        <v>2</v>
      </c>
      <c r="E4" s="1" t="s">
        <v>55</v>
      </c>
    </row>
    <row r="5" spans="1:10">
      <c r="B5" s="1" t="s">
        <v>11</v>
      </c>
      <c r="C5" s="13">
        <f>C17</f>
        <v>55.161000000000001</v>
      </c>
      <c r="D5" s="3" t="s">
        <v>3</v>
      </c>
      <c r="E5" s="1" t="s">
        <v>47</v>
      </c>
      <c r="H5" s="7"/>
    </row>
    <row r="6" spans="1:10">
      <c r="B6" s="1" t="s">
        <v>10</v>
      </c>
      <c r="C6" s="2">
        <v>65</v>
      </c>
      <c r="D6" s="3" t="s">
        <v>19</v>
      </c>
      <c r="E6" s="1" t="s">
        <v>26</v>
      </c>
    </row>
    <row r="7" spans="1:10">
      <c r="B7" s="1" t="s">
        <v>49</v>
      </c>
      <c r="C7" s="8">
        <f>2*4.5/32</f>
        <v>0.28125</v>
      </c>
      <c r="D7" s="3"/>
      <c r="E7" s="1" t="s">
        <v>50</v>
      </c>
    </row>
    <row r="8" spans="1:10">
      <c r="B8" s="1" t="s">
        <v>52</v>
      </c>
      <c r="C8" s="11">
        <f>1-C7</f>
        <v>0.71875</v>
      </c>
      <c r="D8" s="3"/>
    </row>
    <row r="9" spans="1:10">
      <c r="B9" s="1" t="s">
        <v>59</v>
      </c>
      <c r="C9" s="12">
        <f>C7*C6</f>
        <v>18.28125</v>
      </c>
      <c r="D9" s="3" t="s">
        <v>19</v>
      </c>
      <c r="E9" s="1" t="s">
        <v>27</v>
      </c>
      <c r="I9" s="7"/>
      <c r="J9" s="7"/>
    </row>
    <row r="10" spans="1:10">
      <c r="B10" s="1" t="s">
        <v>57</v>
      </c>
      <c r="C10" s="2">
        <v>50</v>
      </c>
      <c r="D10" s="3" t="s">
        <v>25</v>
      </c>
      <c r="I10" s="7"/>
      <c r="J10" s="7"/>
    </row>
    <row r="11" spans="1:10">
      <c r="B11" s="1" t="s">
        <v>62</v>
      </c>
      <c r="C11" s="2">
        <v>0.6</v>
      </c>
      <c r="D11" s="3"/>
      <c r="E11" s="1" t="s">
        <v>28</v>
      </c>
      <c r="I11" s="7"/>
      <c r="J11" s="7"/>
    </row>
    <row r="12" spans="1:10">
      <c r="B12" s="1" t="s">
        <v>63</v>
      </c>
      <c r="C12" s="13">
        <f>C$9*C$10*C$11*3600*24/10^6</f>
        <v>47.384999999999998</v>
      </c>
      <c r="D12" s="3" t="s">
        <v>3</v>
      </c>
      <c r="E12" s="1" t="s">
        <v>64</v>
      </c>
      <c r="I12" s="7"/>
      <c r="J12" s="7"/>
    </row>
    <row r="13" spans="1:10">
      <c r="B13" s="1" t="s">
        <v>51</v>
      </c>
      <c r="C13" s="8">
        <v>1</v>
      </c>
      <c r="D13" s="3" t="s">
        <v>19</v>
      </c>
      <c r="E13" s="1" t="s">
        <v>65</v>
      </c>
    </row>
    <row r="14" spans="1:10">
      <c r="B14" s="1" t="s">
        <v>58</v>
      </c>
      <c r="C14" s="2">
        <v>150</v>
      </c>
      <c r="D14" s="3" t="s">
        <v>25</v>
      </c>
      <c r="H14" s="7"/>
    </row>
    <row r="15" spans="1:10">
      <c r="B15" s="1" t="s">
        <v>61</v>
      </c>
      <c r="C15" s="2">
        <v>0.6</v>
      </c>
      <c r="D15" s="3"/>
      <c r="E15" s="1" t="s">
        <v>28</v>
      </c>
      <c r="H15" s="7"/>
    </row>
    <row r="16" spans="1:10">
      <c r="B16" s="1" t="s">
        <v>60</v>
      </c>
      <c r="C16" s="13">
        <f>C$14*C$15*C$13*3600*24/10^6</f>
        <v>7.7759999999999998</v>
      </c>
      <c r="D16" s="3" t="s">
        <v>3</v>
      </c>
      <c r="E16" s="1" t="s">
        <v>66</v>
      </c>
      <c r="H16" s="7"/>
    </row>
    <row r="17" spans="1:10">
      <c r="B17" s="1" t="s">
        <v>53</v>
      </c>
      <c r="C17" s="13">
        <f>C$12+C$16</f>
        <v>55.161000000000001</v>
      </c>
      <c r="D17" s="3" t="s">
        <v>3</v>
      </c>
      <c r="E17" s="1" t="s">
        <v>54</v>
      </c>
      <c r="H17" s="7"/>
    </row>
    <row r="18" spans="1:10">
      <c r="B18" s="1" t="s">
        <v>4</v>
      </c>
      <c r="C18" s="2">
        <v>10</v>
      </c>
      <c r="D18" s="3" t="s">
        <v>0</v>
      </c>
    </row>
    <row r="19" spans="1:10">
      <c r="A19" s="4" t="s">
        <v>39</v>
      </c>
      <c r="C19" s="2"/>
      <c r="D19" s="3"/>
    </row>
    <row r="20" spans="1:10">
      <c r="B20" s="1" t="s">
        <v>7</v>
      </c>
      <c r="C20" s="9">
        <v>1</v>
      </c>
      <c r="D20" s="3"/>
      <c r="E20" s="1" t="s">
        <v>29</v>
      </c>
      <c r="I20" s="7"/>
    </row>
    <row r="21" spans="1:10">
      <c r="B21" s="1" t="s">
        <v>8</v>
      </c>
      <c r="C21" s="9">
        <v>3</v>
      </c>
      <c r="D21" s="3"/>
      <c r="E21" s="1" t="s">
        <v>30</v>
      </c>
      <c r="J21" s="7"/>
    </row>
    <row r="22" spans="1:10">
      <c r="C22" s="2"/>
      <c r="D22" s="3"/>
    </row>
    <row r="23" spans="1:10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>
      <c r="C24" s="2"/>
      <c r="D24" s="3"/>
    </row>
    <row r="25" spans="1:10" hidden="1">
      <c r="A25" s="4" t="s">
        <v>45</v>
      </c>
      <c r="B25" s="1" t="s">
        <v>20</v>
      </c>
    </row>
    <row r="26" spans="1:10" hidden="1">
      <c r="A26" s="4" t="s">
        <v>46</v>
      </c>
    </row>
    <row r="28" spans="1:10">
      <c r="A28" s="4" t="s">
        <v>12</v>
      </c>
      <c r="B28" s="1" t="s">
        <v>13</v>
      </c>
      <c r="C28" s="10">
        <f>C4*C5</f>
        <v>6067.71</v>
      </c>
      <c r="D28" s="1" t="s">
        <v>14</v>
      </c>
    </row>
    <row r="29" spans="1:10">
      <c r="B29" s="1" t="s">
        <v>40</v>
      </c>
      <c r="C29" s="10">
        <f>C28/C18</f>
        <v>606.77099999999996</v>
      </c>
      <c r="D29" s="1" t="s">
        <v>14</v>
      </c>
      <c r="E29" s="1" t="s">
        <v>34</v>
      </c>
    </row>
    <row r="30" spans="1:10">
      <c r="B30" s="1" t="s">
        <v>15</v>
      </c>
      <c r="C30" s="10">
        <f>C29/C20</f>
        <v>606.77099999999996</v>
      </c>
      <c r="D30" s="1" t="s">
        <v>14</v>
      </c>
      <c r="E30" s="1" t="s">
        <v>33</v>
      </c>
    </row>
    <row r="31" spans="1:10">
      <c r="B31" s="1" t="s">
        <v>16</v>
      </c>
      <c r="C31" s="10">
        <f>C30*C21</f>
        <v>1820.3129999999999</v>
      </c>
      <c r="D31" s="1" t="s">
        <v>14</v>
      </c>
      <c r="E31" s="1" t="s">
        <v>36</v>
      </c>
    </row>
    <row r="32" spans="1:10">
      <c r="B32" s="1" t="s">
        <v>37</v>
      </c>
      <c r="C32" s="10">
        <f>C29+C31</f>
        <v>2427.0839999999998</v>
      </c>
      <c r="D32" s="1" t="s">
        <v>14</v>
      </c>
      <c r="E32" s="1" t="s">
        <v>41</v>
      </c>
    </row>
    <row r="34" spans="2:8">
      <c r="B34" s="1" t="s">
        <v>23</v>
      </c>
      <c r="C34" s="10">
        <f>C4/C18*C6</f>
        <v>715</v>
      </c>
      <c r="D34" s="1" t="s">
        <v>22</v>
      </c>
      <c r="E34" s="1" t="s">
        <v>31</v>
      </c>
    </row>
    <row r="35" spans="2:8">
      <c r="B35" s="1" t="s">
        <v>24</v>
      </c>
      <c r="C35" s="10">
        <f>C4/C18*C9</f>
        <v>201.09375</v>
      </c>
      <c r="D35" s="1" t="s">
        <v>22</v>
      </c>
      <c r="E35" s="1" t="s">
        <v>32</v>
      </c>
      <c r="H35" s="1" t="s">
        <v>42</v>
      </c>
    </row>
    <row r="36" spans="2:8">
      <c r="B36" s="1" t="s">
        <v>43</v>
      </c>
      <c r="C36" s="10">
        <f>C35*C15*3600*24*3/1024/1024</f>
        <v>29.825305938720703</v>
      </c>
      <c r="D36" s="1" t="s">
        <v>14</v>
      </c>
      <c r="E36" s="1" t="s">
        <v>44</v>
      </c>
    </row>
    <row r="37" spans="2:8">
      <c r="B37" s="1" t="s">
        <v>17</v>
      </c>
      <c r="C37" s="10">
        <f>C5*C23/C20/60</f>
        <v>9.1935000000000002</v>
      </c>
      <c r="D37" s="1" t="s">
        <v>18</v>
      </c>
      <c r="E37" s="1" t="s">
        <v>48</v>
      </c>
    </row>
    <row r="38" spans="2:8">
      <c r="C38" s="10">
        <f>C37/365/24*1000</f>
        <v>1.049486301369863</v>
      </c>
      <c r="D38" s="1" t="s">
        <v>56</v>
      </c>
    </row>
  </sheetData>
  <dataValidations count="1">
    <dataValidation type="list" allowBlank="1" showInputMessage="1" showErrorMessage="1" sqref="B25" xr:uid="{6200B5A4-5064-E247-8978-49CE60A400B5}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5575-BD5E-A54F-82D4-A83A5B3A704F}">
  <dimension ref="A1:J38"/>
  <sheetViews>
    <sheetView topLeftCell="A31" workbookViewId="0"/>
  </sheetViews>
  <sheetFormatPr baseColWidth="10" defaultRowHeight="16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ht="24">
      <c r="A1" s="1" t="s">
        <v>0</v>
      </c>
      <c r="B1" s="1" t="s">
        <v>0</v>
      </c>
      <c r="C1" s="2" t="s">
        <v>1</v>
      </c>
      <c r="D1" s="3"/>
    </row>
    <row r="2" spans="1:10" ht="24">
      <c r="A2" s="4" t="s">
        <v>21</v>
      </c>
      <c r="B2" s="14" t="s">
        <v>106</v>
      </c>
      <c r="C2" s="5" t="s">
        <v>0</v>
      </c>
      <c r="D2" s="6"/>
      <c r="E2" s="1" t="s">
        <v>35</v>
      </c>
    </row>
    <row r="3" spans="1:10" ht="24">
      <c r="A3" s="4" t="s">
        <v>38</v>
      </c>
      <c r="B3" s="1" t="s">
        <v>9</v>
      </c>
      <c r="C3" s="2">
        <f>230.4*1.25*C4/5</f>
        <v>172.8</v>
      </c>
      <c r="D3" s="3" t="s">
        <v>2</v>
      </c>
      <c r="E3" s="1" t="s">
        <v>55</v>
      </c>
    </row>
    <row r="4" spans="1:10" ht="24">
      <c r="A4" s="4" t="s">
        <v>0</v>
      </c>
      <c r="B4" s="4" t="s">
        <v>88</v>
      </c>
      <c r="C4" s="5">
        <v>3</v>
      </c>
      <c r="D4" s="6" t="s">
        <v>89</v>
      </c>
    </row>
    <row r="5" spans="1:10" ht="24">
      <c r="B5" s="1" t="s">
        <v>11</v>
      </c>
      <c r="C5" s="13">
        <f>C17</f>
        <v>23.490000000000002</v>
      </c>
      <c r="D5" s="3" t="s">
        <v>3</v>
      </c>
      <c r="E5" s="1" t="s">
        <v>47</v>
      </c>
      <c r="H5" s="7"/>
    </row>
    <row r="6" spans="1:10" ht="24">
      <c r="B6" s="1" t="s">
        <v>10</v>
      </c>
      <c r="C6" s="2">
        <v>20</v>
      </c>
      <c r="D6" s="3" t="s">
        <v>19</v>
      </c>
      <c r="E6" s="1" t="s">
        <v>26</v>
      </c>
    </row>
    <row r="7" spans="1:10" ht="24">
      <c r="B7" s="1" t="s">
        <v>49</v>
      </c>
      <c r="C7" s="8">
        <f>2*4.5/32</f>
        <v>0.28125</v>
      </c>
      <c r="D7" s="3"/>
      <c r="E7" s="1" t="s">
        <v>50</v>
      </c>
    </row>
    <row r="8" spans="1:10" ht="24">
      <c r="B8" s="1" t="s">
        <v>52</v>
      </c>
      <c r="C8" s="11">
        <f>1-C7</f>
        <v>0.71875</v>
      </c>
      <c r="D8" s="3"/>
    </row>
    <row r="9" spans="1:10" ht="24">
      <c r="B9" s="1" t="s">
        <v>59</v>
      </c>
      <c r="C9" s="12">
        <f>C7*C6</f>
        <v>5.625</v>
      </c>
      <c r="D9" s="3" t="s">
        <v>19</v>
      </c>
      <c r="E9" s="1" t="s">
        <v>27</v>
      </c>
      <c r="I9" s="7"/>
      <c r="J9" s="7"/>
    </row>
    <row r="10" spans="1:10" ht="24">
      <c r="B10" s="1" t="s">
        <v>57</v>
      </c>
      <c r="C10" s="2">
        <v>50</v>
      </c>
      <c r="D10" s="3" t="s">
        <v>25</v>
      </c>
      <c r="I10" s="7"/>
      <c r="J10" s="7"/>
    </row>
    <row r="11" spans="1:10" ht="24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 ht="24">
      <c r="B12" s="1" t="s">
        <v>63</v>
      </c>
      <c r="C12" s="13">
        <f>C$9*C$10*C$11*3600*24/10^6</f>
        <v>17.010000000000002</v>
      </c>
      <c r="D12" s="3" t="s">
        <v>3</v>
      </c>
      <c r="E12" s="1" t="s">
        <v>64</v>
      </c>
      <c r="I12" s="7"/>
      <c r="J12" s="7"/>
    </row>
    <row r="13" spans="1:10" ht="24">
      <c r="B13" s="1" t="s">
        <v>51</v>
      </c>
      <c r="C13" s="8">
        <v>1</v>
      </c>
      <c r="D13" s="3" t="s">
        <v>19</v>
      </c>
      <c r="E13" s="1" t="s">
        <v>65</v>
      </c>
    </row>
    <row r="14" spans="1:10" ht="24">
      <c r="B14" s="1" t="s">
        <v>58</v>
      </c>
      <c r="C14" s="2">
        <v>150</v>
      </c>
      <c r="D14" s="3" t="s">
        <v>25</v>
      </c>
      <c r="H14" s="7"/>
    </row>
    <row r="15" spans="1:10" ht="24">
      <c r="B15" s="1" t="s">
        <v>61</v>
      </c>
      <c r="C15" s="2">
        <v>0.5</v>
      </c>
      <c r="D15" s="3"/>
      <c r="E15" s="1" t="s">
        <v>28</v>
      </c>
      <c r="H15" s="7"/>
    </row>
    <row r="16" spans="1:10" ht="24">
      <c r="B16" s="1" t="s">
        <v>60</v>
      </c>
      <c r="C16" s="13">
        <f>C$14*C$15*C$13*3600*24/10^6</f>
        <v>6.48</v>
      </c>
      <c r="D16" s="3" t="s">
        <v>3</v>
      </c>
      <c r="E16" s="1" t="s">
        <v>66</v>
      </c>
      <c r="H16" s="7"/>
    </row>
    <row r="17" spans="1:10" ht="24">
      <c r="B17" s="1" t="s">
        <v>53</v>
      </c>
      <c r="C17" s="13">
        <f>C$12+C$16</f>
        <v>23.490000000000002</v>
      </c>
      <c r="D17" s="3" t="s">
        <v>3</v>
      </c>
      <c r="E17" s="1" t="s">
        <v>54</v>
      </c>
      <c r="H17" s="7"/>
    </row>
    <row r="18" spans="1:10" ht="24">
      <c r="B18" s="1" t="s">
        <v>4</v>
      </c>
      <c r="C18" s="2">
        <v>2.5</v>
      </c>
      <c r="D18" s="3" t="s">
        <v>0</v>
      </c>
    </row>
    <row r="19" spans="1:10" ht="24">
      <c r="A19" s="4" t="s">
        <v>39</v>
      </c>
      <c r="C19" s="2"/>
      <c r="D19" s="3"/>
    </row>
    <row r="20" spans="1:10" ht="24">
      <c r="B20" s="1" t="s">
        <v>7</v>
      </c>
      <c r="C20" s="9">
        <v>1</v>
      </c>
      <c r="D20" s="3"/>
      <c r="E20" s="1" t="s">
        <v>29</v>
      </c>
      <c r="I20" s="7"/>
    </row>
    <row r="21" spans="1:10" ht="24">
      <c r="B21" s="1" t="s">
        <v>8</v>
      </c>
      <c r="C21" s="9">
        <v>0.3</v>
      </c>
      <c r="D21" s="3"/>
      <c r="E21" s="1" t="s">
        <v>30</v>
      </c>
      <c r="J21" s="7"/>
    </row>
    <row r="22" spans="1:10" ht="24">
      <c r="C22" s="2"/>
      <c r="D22" s="3"/>
    </row>
    <row r="23" spans="1:10" ht="24">
      <c r="B23" s="1" t="s">
        <v>5</v>
      </c>
      <c r="C23" s="2">
        <v>10</v>
      </c>
      <c r="D23" s="3" t="s">
        <v>6</v>
      </c>
      <c r="F23" s="1" t="s">
        <v>0</v>
      </c>
    </row>
    <row r="24" spans="1:10" ht="24" hidden="1">
      <c r="C24" s="2"/>
      <c r="D24" s="3"/>
    </row>
    <row r="25" spans="1:10" ht="24" hidden="1">
      <c r="A25" s="4" t="s">
        <v>45</v>
      </c>
      <c r="B25" s="1" t="s">
        <v>20</v>
      </c>
    </row>
    <row r="26" spans="1:10" ht="24" hidden="1">
      <c r="A26" s="4" t="s">
        <v>46</v>
      </c>
    </row>
    <row r="28" spans="1:10" ht="24">
      <c r="A28" s="4" t="s">
        <v>12</v>
      </c>
      <c r="B28" s="1" t="s">
        <v>13</v>
      </c>
      <c r="C28" s="10">
        <f>C3*C5</f>
        <v>4059.0720000000006</v>
      </c>
      <c r="D28" s="1" t="s">
        <v>14</v>
      </c>
    </row>
    <row r="29" spans="1:10" ht="24">
      <c r="B29" s="1" t="s">
        <v>40</v>
      </c>
      <c r="C29" s="10">
        <f>C28/C18</f>
        <v>1623.6288000000002</v>
      </c>
      <c r="D29" s="1" t="s">
        <v>14</v>
      </c>
      <c r="E29" s="1" t="s">
        <v>34</v>
      </c>
    </row>
    <row r="30" spans="1:10" ht="24">
      <c r="B30" s="1" t="s">
        <v>15</v>
      </c>
      <c r="C30" s="10">
        <f>C29/C20</f>
        <v>1623.6288000000002</v>
      </c>
      <c r="D30" s="1" t="s">
        <v>14</v>
      </c>
      <c r="E30" s="1" t="s">
        <v>33</v>
      </c>
    </row>
    <row r="31" spans="1:10" ht="24">
      <c r="B31" s="1" t="s">
        <v>16</v>
      </c>
      <c r="C31" s="10">
        <f>C30*C21</f>
        <v>487.08864000000005</v>
      </c>
      <c r="D31" s="1" t="s">
        <v>14</v>
      </c>
      <c r="E31" s="1" t="s">
        <v>36</v>
      </c>
    </row>
    <row r="32" spans="1:10" ht="24">
      <c r="B32" s="1" t="s">
        <v>37</v>
      </c>
      <c r="C32" s="10">
        <f>C29+C31</f>
        <v>2110.7174400000004</v>
      </c>
      <c r="D32" s="1" t="s">
        <v>14</v>
      </c>
      <c r="E32" s="1" t="s">
        <v>41</v>
      </c>
    </row>
    <row r="34" spans="2:8" ht="24">
      <c r="B34" s="1" t="s">
        <v>23</v>
      </c>
      <c r="C34" s="10">
        <f>C3/C18*(C6+C13)</f>
        <v>1451.52</v>
      </c>
      <c r="D34" s="1" t="s">
        <v>22</v>
      </c>
      <c r="E34" s="1" t="s">
        <v>31</v>
      </c>
    </row>
    <row r="35" spans="2:8" ht="24">
      <c r="B35" s="1" t="s">
        <v>24</v>
      </c>
      <c r="C35" s="10">
        <f>C3/C18*(C9+C13)</f>
        <v>457.92</v>
      </c>
      <c r="D35" s="1" t="s">
        <v>22</v>
      </c>
      <c r="E35" s="1" t="s">
        <v>32</v>
      </c>
      <c r="H35" s="1" t="s">
        <v>42</v>
      </c>
    </row>
    <row r="36" spans="2:8" ht="24">
      <c r="B36" s="1" t="s">
        <v>43</v>
      </c>
      <c r="C36" s="10">
        <f>C35*C15*3600*24*3/1024/1024</f>
        <v>56.59716796875</v>
      </c>
      <c r="D36" s="1" t="s">
        <v>14</v>
      </c>
      <c r="E36" s="1" t="s">
        <v>44</v>
      </c>
    </row>
    <row r="37" spans="2:8" ht="24">
      <c r="B37" s="1" t="s">
        <v>17</v>
      </c>
      <c r="C37" s="10">
        <f>C5*C23/C20/60</f>
        <v>3.9150000000000005</v>
      </c>
      <c r="D37" s="1" t="s">
        <v>18</v>
      </c>
      <c r="E37" s="1" t="s">
        <v>48</v>
      </c>
    </row>
    <row r="38" spans="2:8" ht="24">
      <c r="C38" s="10">
        <f>C37/365/24*1000</f>
        <v>0.4469178082191782</v>
      </c>
      <c r="D38" s="1" t="s">
        <v>56</v>
      </c>
    </row>
  </sheetData>
  <dataValidations count="1">
    <dataValidation type="list" allowBlank="1" showInputMessage="1" showErrorMessage="1" sqref="B25" xr:uid="{447BC266-3BB6-5742-B765-DE252A032F6E}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E0386-9679-2D40-A2B9-760C5CC9E824}">
  <dimension ref="A1:J38"/>
  <sheetViews>
    <sheetView topLeftCell="A21" workbookViewId="0">
      <selection activeCell="E33" sqref="E33"/>
    </sheetView>
  </sheetViews>
  <sheetFormatPr baseColWidth="10" defaultRowHeight="16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ht="24">
      <c r="A1" s="1" t="s">
        <v>0</v>
      </c>
      <c r="B1" s="1" t="s">
        <v>0</v>
      </c>
      <c r="C1" s="2" t="s">
        <v>1</v>
      </c>
      <c r="D1" s="3"/>
    </row>
    <row r="2" spans="1:10" ht="24">
      <c r="A2" s="4" t="s">
        <v>21</v>
      </c>
      <c r="B2" s="14" t="s">
        <v>105</v>
      </c>
      <c r="C2" s="5" t="s">
        <v>0</v>
      </c>
      <c r="D2" s="6"/>
      <c r="E2" s="1" t="s">
        <v>35</v>
      </c>
    </row>
    <row r="3" spans="1:10" ht="24">
      <c r="A3" s="4" t="s">
        <v>38</v>
      </c>
      <c r="B3" s="4"/>
      <c r="C3" s="5"/>
      <c r="D3" s="6"/>
    </row>
    <row r="4" spans="1:10" ht="24">
      <c r="B4" s="1" t="s">
        <v>9</v>
      </c>
      <c r="C4" s="2">
        <v>110</v>
      </c>
      <c r="D4" s="3" t="s">
        <v>2</v>
      </c>
      <c r="E4" s="1" t="s">
        <v>55</v>
      </c>
    </row>
    <row r="5" spans="1:10" ht="24">
      <c r="B5" s="1" t="s">
        <v>11</v>
      </c>
      <c r="C5" s="13">
        <f>C17</f>
        <v>55.161000000000001</v>
      </c>
      <c r="D5" s="3" t="s">
        <v>3</v>
      </c>
      <c r="E5" s="1" t="s">
        <v>47</v>
      </c>
      <c r="H5" s="7"/>
    </row>
    <row r="6" spans="1:10" ht="24">
      <c r="B6" s="1" t="s">
        <v>10</v>
      </c>
      <c r="C6" s="2">
        <v>65</v>
      </c>
      <c r="D6" s="3" t="s">
        <v>19</v>
      </c>
      <c r="E6" s="1" t="s">
        <v>26</v>
      </c>
    </row>
    <row r="7" spans="1:10" ht="24">
      <c r="B7" s="1" t="s">
        <v>49</v>
      </c>
      <c r="C7" s="8">
        <f>2*4.5/32</f>
        <v>0.28125</v>
      </c>
      <c r="D7" s="3"/>
      <c r="E7" s="1" t="s">
        <v>50</v>
      </c>
    </row>
    <row r="8" spans="1:10" ht="24">
      <c r="B8" s="1" t="s">
        <v>52</v>
      </c>
      <c r="C8" s="11">
        <f>1-C7</f>
        <v>0.71875</v>
      </c>
      <c r="D8" s="3"/>
    </row>
    <row r="9" spans="1:10" ht="24">
      <c r="B9" s="1" t="s">
        <v>59</v>
      </c>
      <c r="C9" s="12">
        <f>C7*C6</f>
        <v>18.28125</v>
      </c>
      <c r="D9" s="3" t="s">
        <v>19</v>
      </c>
      <c r="E9" s="1" t="s">
        <v>27</v>
      </c>
      <c r="I9" s="7"/>
      <c r="J9" s="7"/>
    </row>
    <row r="10" spans="1:10" ht="24">
      <c r="B10" s="1" t="s">
        <v>57</v>
      </c>
      <c r="C10" s="2">
        <v>50</v>
      </c>
      <c r="D10" s="3" t="s">
        <v>25</v>
      </c>
      <c r="I10" s="7"/>
      <c r="J10" s="7"/>
    </row>
    <row r="11" spans="1:10" ht="24">
      <c r="B11" s="1" t="s">
        <v>62</v>
      </c>
      <c r="C11" s="2">
        <v>0.6</v>
      </c>
      <c r="D11" s="3"/>
      <c r="E11" s="1" t="s">
        <v>28</v>
      </c>
      <c r="I11" s="7"/>
      <c r="J11" s="7"/>
    </row>
    <row r="12" spans="1:10" ht="24">
      <c r="B12" s="1" t="s">
        <v>63</v>
      </c>
      <c r="C12" s="13">
        <f>C$9*C$10*C$11*3600*24/10^6</f>
        <v>47.384999999999998</v>
      </c>
      <c r="D12" s="3" t="s">
        <v>3</v>
      </c>
      <c r="E12" s="1" t="s">
        <v>64</v>
      </c>
      <c r="I12" s="7"/>
      <c r="J12" s="7"/>
    </row>
    <row r="13" spans="1:10" ht="24">
      <c r="B13" s="1" t="s">
        <v>51</v>
      </c>
      <c r="C13" s="8">
        <v>1</v>
      </c>
      <c r="D13" s="3" t="s">
        <v>19</v>
      </c>
      <c r="E13" s="1" t="s">
        <v>65</v>
      </c>
    </row>
    <row r="14" spans="1:10" ht="24">
      <c r="B14" s="1" t="s">
        <v>58</v>
      </c>
      <c r="C14" s="2">
        <v>150</v>
      </c>
      <c r="D14" s="3" t="s">
        <v>25</v>
      </c>
      <c r="H14" s="7"/>
    </row>
    <row r="15" spans="1:10" ht="24">
      <c r="B15" s="1" t="s">
        <v>61</v>
      </c>
      <c r="C15" s="2">
        <v>0.6</v>
      </c>
      <c r="D15" s="3"/>
      <c r="E15" s="1" t="s">
        <v>28</v>
      </c>
      <c r="H15" s="7"/>
    </row>
    <row r="16" spans="1:10" ht="24">
      <c r="B16" s="1" t="s">
        <v>60</v>
      </c>
      <c r="C16" s="13">
        <f>C$14*C$15*C$13*3600*24/10^6</f>
        <v>7.7759999999999998</v>
      </c>
      <c r="D16" s="3" t="s">
        <v>3</v>
      </c>
      <c r="E16" s="1" t="s">
        <v>66</v>
      </c>
      <c r="H16" s="7"/>
    </row>
    <row r="17" spans="1:10" ht="24">
      <c r="B17" s="1" t="s">
        <v>53</v>
      </c>
      <c r="C17" s="13">
        <f>C$12+C$16</f>
        <v>55.161000000000001</v>
      </c>
      <c r="D17" s="3" t="s">
        <v>3</v>
      </c>
      <c r="E17" s="1" t="s">
        <v>54</v>
      </c>
      <c r="H17" s="7"/>
    </row>
    <row r="18" spans="1:10" ht="24">
      <c r="B18" s="1" t="s">
        <v>4</v>
      </c>
      <c r="C18" s="2">
        <v>10</v>
      </c>
      <c r="D18" s="3" t="s">
        <v>0</v>
      </c>
    </row>
    <row r="19" spans="1:10" ht="24">
      <c r="A19" s="4" t="s">
        <v>39</v>
      </c>
      <c r="C19" s="2"/>
      <c r="D19" s="3"/>
    </row>
    <row r="20" spans="1:10" ht="24">
      <c r="B20" s="1" t="s">
        <v>7</v>
      </c>
      <c r="C20" s="9">
        <v>1</v>
      </c>
      <c r="D20" s="3"/>
      <c r="E20" s="1" t="s">
        <v>29</v>
      </c>
      <c r="I20" s="7"/>
    </row>
    <row r="21" spans="1:10" ht="24">
      <c r="B21" s="1" t="s">
        <v>8</v>
      </c>
      <c r="C21" s="9">
        <v>3</v>
      </c>
      <c r="D21" s="3"/>
      <c r="E21" s="1" t="s">
        <v>30</v>
      </c>
      <c r="J21" s="7"/>
    </row>
    <row r="22" spans="1:10" ht="24">
      <c r="C22" s="2"/>
      <c r="D22" s="3"/>
    </row>
    <row r="23" spans="1:10" ht="24">
      <c r="B23" s="1" t="s">
        <v>5</v>
      </c>
      <c r="C23" s="2">
        <v>10</v>
      </c>
      <c r="D23" s="3" t="s">
        <v>6</v>
      </c>
      <c r="F23" s="1" t="s">
        <v>0</v>
      </c>
    </row>
    <row r="24" spans="1:10" ht="24" hidden="1">
      <c r="C24" s="2"/>
      <c r="D24" s="3"/>
    </row>
    <row r="25" spans="1:10" ht="24" hidden="1">
      <c r="A25" s="4" t="s">
        <v>45</v>
      </c>
      <c r="B25" s="1" t="s">
        <v>20</v>
      </c>
    </row>
    <row r="26" spans="1:10" ht="24" hidden="1">
      <c r="A26" s="4" t="s">
        <v>46</v>
      </c>
    </row>
    <row r="28" spans="1:10" ht="24">
      <c r="A28" s="4" t="s">
        <v>12</v>
      </c>
      <c r="B28" s="1" t="s">
        <v>13</v>
      </c>
      <c r="C28" s="10">
        <f>C4*C5</f>
        <v>6067.71</v>
      </c>
      <c r="D28" s="1" t="s">
        <v>14</v>
      </c>
    </row>
    <row r="29" spans="1:10" ht="24">
      <c r="B29" s="1" t="s">
        <v>40</v>
      </c>
      <c r="C29" s="10">
        <f>C28/C18</f>
        <v>606.77099999999996</v>
      </c>
      <c r="D29" s="1" t="s">
        <v>14</v>
      </c>
      <c r="E29" s="1" t="s">
        <v>34</v>
      </c>
    </row>
    <row r="30" spans="1:10" ht="24">
      <c r="B30" s="1" t="s">
        <v>15</v>
      </c>
      <c r="C30" s="10">
        <f>C29/C20</f>
        <v>606.77099999999996</v>
      </c>
      <c r="D30" s="1" t="s">
        <v>14</v>
      </c>
      <c r="E30" s="1" t="s">
        <v>33</v>
      </c>
    </row>
    <row r="31" spans="1:10" ht="24">
      <c r="B31" s="1" t="s">
        <v>16</v>
      </c>
      <c r="C31" s="10">
        <f>C30*C21</f>
        <v>1820.3129999999999</v>
      </c>
      <c r="D31" s="1" t="s">
        <v>14</v>
      </c>
      <c r="E31" s="1" t="s">
        <v>36</v>
      </c>
    </row>
    <row r="32" spans="1:10" ht="24">
      <c r="B32" s="1" t="s">
        <v>37</v>
      </c>
      <c r="C32" s="10">
        <f>C29+C31</f>
        <v>2427.0839999999998</v>
      </c>
      <c r="D32" s="1" t="s">
        <v>14</v>
      </c>
      <c r="E32" s="1" t="s">
        <v>41</v>
      </c>
    </row>
    <row r="34" spans="2:8" ht="24">
      <c r="B34" s="1" t="s">
        <v>23</v>
      </c>
      <c r="C34" s="10">
        <f>C4/C18*C6</f>
        <v>715</v>
      </c>
      <c r="D34" s="1" t="s">
        <v>22</v>
      </c>
      <c r="E34" s="1" t="s">
        <v>31</v>
      </c>
    </row>
    <row r="35" spans="2:8" ht="24">
      <c r="B35" s="1" t="s">
        <v>24</v>
      </c>
      <c r="C35" s="10">
        <f>C4/C18*C9</f>
        <v>201.09375</v>
      </c>
      <c r="D35" s="1" t="s">
        <v>22</v>
      </c>
      <c r="E35" s="1" t="s">
        <v>32</v>
      </c>
      <c r="H35" s="1" t="s">
        <v>42</v>
      </c>
    </row>
    <row r="36" spans="2:8" ht="24">
      <c r="B36" s="1" t="s">
        <v>43</v>
      </c>
      <c r="C36" s="10">
        <f>C35*C15*3600*24*3/1024/1024</f>
        <v>29.825305938720703</v>
      </c>
      <c r="D36" s="1" t="s">
        <v>14</v>
      </c>
      <c r="E36" s="1" t="s">
        <v>44</v>
      </c>
    </row>
    <row r="37" spans="2:8" ht="24">
      <c r="B37" s="1" t="s">
        <v>17</v>
      </c>
      <c r="C37" s="10">
        <f>C5*C23/C20/60</f>
        <v>9.1935000000000002</v>
      </c>
      <c r="D37" s="1" t="s">
        <v>18</v>
      </c>
      <c r="E37" s="1" t="s">
        <v>48</v>
      </c>
    </row>
    <row r="38" spans="2:8" ht="24">
      <c r="C38" s="10">
        <f>C37/365/24*1000</f>
        <v>1.049486301369863</v>
      </c>
      <c r="D38" s="1" t="s">
        <v>56</v>
      </c>
    </row>
  </sheetData>
  <dataValidations count="1">
    <dataValidation type="list" allowBlank="1" showInputMessage="1" showErrorMessage="1" sqref="B25" xr:uid="{6F9CE52E-0E59-EE4A-970A-049FF0BEE004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SP-2018-run</vt:lpstr>
      <vt:lpstr>SP-2019-run</vt:lpstr>
      <vt:lpstr>DP-2019-run</vt:lpstr>
      <vt:lpstr>SP-2020-run</vt:lpstr>
      <vt:lpstr>DP-2020-run</vt:lpstr>
      <vt:lpstr>SP-2021-run</vt:lpstr>
      <vt:lpstr>DP-2021-run</vt:lpstr>
      <vt:lpstr>SP-2022-run</vt:lpstr>
      <vt:lpstr>DP-2022-run</vt:lpstr>
      <vt:lpstr>Summary</vt:lpstr>
      <vt:lpstr>BIGDUNE</vt:lpstr>
      <vt:lpstr>Supernova</vt:lpstr>
      <vt:lpstr>MCC11</vt:lpstr>
    </vt:vector>
  </TitlesOfParts>
  <Company>Northwestern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Schellman</dc:creator>
  <cp:lastModifiedBy>Microsoft Office User</cp:lastModifiedBy>
  <dcterms:created xsi:type="dcterms:W3CDTF">2017-11-10T16:11:17Z</dcterms:created>
  <dcterms:modified xsi:type="dcterms:W3CDTF">2019-11-15T16:18:08Z</dcterms:modified>
</cp:coreProperties>
</file>