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nna\Desktop\PIXIE Folder\L3 Stuff\CD-2 BOE\BTL Supporting Docs\"/>
    </mc:Choice>
  </mc:AlternateContent>
  <xr:revisionPtr revIDLastSave="0" documentId="10_ncr:100000_{A0C24C05-2719-4E57-B057-1A7A86BE0D6D}" xr6:coauthVersionLast="31" xr6:coauthVersionMax="31" xr10:uidLastSave="{00000000-0000-0000-0000-000000000000}"/>
  <bookViews>
    <workbookView xWindow="0" yWindow="0" windowWidth="12180" windowHeight="10875" tabRatio="500" xr2:uid="{00000000-000D-0000-FFFF-FFFF00000000}"/>
  </bookViews>
  <sheets>
    <sheet name="Power Supplies" sheetId="1" r:id="rId1"/>
    <sheet name="$ per W Calc" sheetId="3" r:id="rId2"/>
  </sheets>
  <definedNames>
    <definedName name="_xlnm.Print_Area" localSheetId="0">'Power Supplies'!$A$1:$BD$72</definedName>
  </definedNames>
  <calcPr calcId="17901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" i="3" l="1"/>
  <c r="C8" i="3"/>
  <c r="C9" i="3"/>
  <c r="C10" i="3"/>
  <c r="C11" i="3"/>
  <c r="C12" i="3"/>
  <c r="C6" i="3"/>
  <c r="D7" i="3"/>
  <c r="D8" i="3"/>
  <c r="D9" i="3"/>
  <c r="D10" i="3"/>
  <c r="D11" i="3"/>
  <c r="D12" i="3"/>
  <c r="D6" i="3"/>
  <c r="AF16" i="1"/>
  <c r="AF17" i="1" l="1"/>
  <c r="AF18" i="1"/>
  <c r="AF19" i="1"/>
  <c r="AF20" i="1"/>
  <c r="AF21" i="1"/>
  <c r="AF22" i="1"/>
  <c r="L22" i="1" l="1"/>
  <c r="N22" i="1" s="1"/>
  <c r="T22" i="1" s="1"/>
  <c r="P22" i="1"/>
  <c r="Q22" i="1"/>
  <c r="Y22" i="1"/>
  <c r="AG22" i="1" s="1"/>
  <c r="AH22" i="1"/>
  <c r="R22" i="1" l="1"/>
  <c r="AN22" i="1"/>
  <c r="AP22" i="1"/>
  <c r="AO22" i="1"/>
  <c r="AM22" i="1"/>
  <c r="AZ22" i="1"/>
  <c r="BA26" i="1"/>
  <c r="BB26" i="1" s="1"/>
  <c r="BC26" i="1" s="1"/>
  <c r="BA24" i="1"/>
  <c r="BB24" i="1" s="1"/>
  <c r="BC24" i="1" s="1"/>
  <c r="BA25" i="1"/>
  <c r="BB25" i="1" s="1"/>
  <c r="BC25" i="1" s="1"/>
  <c r="BA23" i="1"/>
  <c r="BB23" i="1" s="1"/>
  <c r="BC23" i="1" s="1"/>
  <c r="BA22" i="1"/>
  <c r="BB22" i="1" s="1"/>
  <c r="BC22" i="1" s="1"/>
  <c r="X22" i="1"/>
  <c r="AK22" i="1"/>
  <c r="AJ22" i="1"/>
  <c r="Z22" i="1" l="1"/>
  <c r="AY22" i="1"/>
  <c r="Y21" i="1"/>
  <c r="AZ21" i="1" s="1"/>
  <c r="P21" i="1"/>
  <c r="Q21" i="1"/>
  <c r="L21" i="1"/>
  <c r="N21" i="1" s="1"/>
  <c r="T21" i="1" s="1"/>
  <c r="X21" i="1" s="1"/>
  <c r="AH21" i="1"/>
  <c r="AJ21" i="1" l="1"/>
  <c r="R21" i="1"/>
  <c r="Z21" i="1"/>
  <c r="AY21" i="1"/>
  <c r="AK21" i="1"/>
  <c r="AO21" i="1"/>
  <c r="AP21" i="1"/>
  <c r="AN21" i="1"/>
  <c r="AM21" i="1"/>
  <c r="AG21" i="1"/>
  <c r="BA21" i="1" s="1"/>
  <c r="BB21" i="1" s="1"/>
  <c r="BC21" i="1" s="1"/>
  <c r="AH17" i="1"/>
  <c r="AH18" i="1"/>
  <c r="AK18" i="1" s="1"/>
  <c r="AH19" i="1"/>
  <c r="AH20" i="1"/>
  <c r="AJ20" i="1" s="1"/>
  <c r="Y17" i="1"/>
  <c r="AG17" i="1" s="1"/>
  <c r="Y18" i="1"/>
  <c r="AZ18" i="1" s="1"/>
  <c r="Y19" i="1"/>
  <c r="AZ19" i="1" s="1"/>
  <c r="Y20" i="1"/>
  <c r="AZ20" i="1" s="1"/>
  <c r="L17" i="1"/>
  <c r="N17" i="1" s="1"/>
  <c r="T17" i="1" s="1"/>
  <c r="X17" i="1" s="1"/>
  <c r="P17" i="1"/>
  <c r="Q17" i="1"/>
  <c r="L18" i="1"/>
  <c r="N18" i="1" s="1"/>
  <c r="T18" i="1" s="1"/>
  <c r="X18" i="1" s="1"/>
  <c r="P18" i="1"/>
  <c r="Q18" i="1"/>
  <c r="L19" i="1"/>
  <c r="N19" i="1" s="1"/>
  <c r="T19" i="1" s="1"/>
  <c r="X19" i="1" s="1"/>
  <c r="P19" i="1"/>
  <c r="Q19" i="1"/>
  <c r="L20" i="1"/>
  <c r="N20" i="1" s="1"/>
  <c r="T20" i="1" s="1"/>
  <c r="X20" i="1" s="1"/>
  <c r="P20" i="1"/>
  <c r="Q20" i="1"/>
  <c r="Z20" i="1" l="1"/>
  <c r="AY20" i="1"/>
  <c r="Z17" i="1"/>
  <c r="AY17" i="1"/>
  <c r="Z19" i="1"/>
  <c r="AY19" i="1"/>
  <c r="Z18" i="1"/>
  <c r="AY18" i="1"/>
  <c r="AZ17" i="1"/>
  <c r="R19" i="1"/>
  <c r="R20" i="1"/>
  <c r="AG18" i="1"/>
  <c r="BA18" i="1" s="1"/>
  <c r="AG19" i="1"/>
  <c r="BA19" i="1" s="1"/>
  <c r="BB19" i="1" s="1"/>
  <c r="BC19" i="1" s="1"/>
  <c r="R18" i="1"/>
  <c r="AM17" i="1"/>
  <c r="AP17" i="1"/>
  <c r="AN17" i="1"/>
  <c r="AO17" i="1"/>
  <c r="AP18" i="1"/>
  <c r="AO18" i="1"/>
  <c r="AM18" i="1"/>
  <c r="AN18" i="1"/>
  <c r="AN20" i="1"/>
  <c r="AM20" i="1"/>
  <c r="AO20" i="1"/>
  <c r="AP20" i="1"/>
  <c r="AJ19" i="1"/>
  <c r="AM19" i="1"/>
  <c r="AN19" i="1"/>
  <c r="AO19" i="1"/>
  <c r="AP19" i="1"/>
  <c r="R17" i="1"/>
  <c r="AJ18" i="1"/>
  <c r="AG20" i="1"/>
  <c r="BA20" i="1" s="1"/>
  <c r="BB20" i="1" s="1"/>
  <c r="BC20" i="1" s="1"/>
  <c r="AK20" i="1"/>
  <c r="BA17" i="1"/>
  <c r="BB17" i="1" s="1"/>
  <c r="BC17" i="1" s="1"/>
  <c r="AK17" i="1"/>
  <c r="AJ17" i="1"/>
  <c r="AK19" i="1"/>
  <c r="M67" i="1"/>
  <c r="P67" i="1" s="1"/>
  <c r="M66" i="1"/>
  <c r="P66" i="1" s="1"/>
  <c r="AP61" i="1"/>
  <c r="AE61" i="1"/>
  <c r="M61" i="1"/>
  <c r="P61" i="1" s="1"/>
  <c r="AP60" i="1"/>
  <c r="AE60" i="1"/>
  <c r="V60" i="1"/>
  <c r="M60" i="1"/>
  <c r="P60" i="1" s="1"/>
  <c r="AP59" i="1"/>
  <c r="AE59" i="1"/>
  <c r="V59" i="1"/>
  <c r="M59" i="1"/>
  <c r="P59" i="1" s="1"/>
  <c r="AP58" i="1"/>
  <c r="AE58" i="1"/>
  <c r="V58" i="1"/>
  <c r="M58" i="1"/>
  <c r="P58" i="1" s="1"/>
  <c r="AP57" i="1"/>
  <c r="AE57" i="1"/>
  <c r="M57" i="1"/>
  <c r="P57" i="1" s="1"/>
  <c r="AP56" i="1"/>
  <c r="AE56" i="1"/>
  <c r="M56" i="1"/>
  <c r="P56" i="1" s="1"/>
  <c r="AP55" i="1"/>
  <c r="AE55" i="1"/>
  <c r="V55" i="1"/>
  <c r="AP54" i="1"/>
  <c r="AE54" i="1"/>
  <c r="V54" i="1"/>
  <c r="AP53" i="1"/>
  <c r="AE53" i="1"/>
  <c r="V53" i="1"/>
  <c r="B39" i="1"/>
  <c r="AH16" i="1"/>
  <c r="Y16" i="1"/>
  <c r="AZ16" i="1" s="1"/>
  <c r="BB18" i="1" l="1"/>
  <c r="AM16" i="1"/>
  <c r="AM46" i="1" s="1"/>
  <c r="AO16" i="1"/>
  <c r="AO48" i="1" s="1"/>
  <c r="AP16" i="1"/>
  <c r="AP48" i="1" s="1"/>
  <c r="BD44" i="1" s="1"/>
  <c r="AN16" i="1"/>
  <c r="AN48" i="1" s="1"/>
  <c r="AP63" i="1"/>
  <c r="AK16" i="1"/>
  <c r="AK43" i="1" s="1"/>
  <c r="V61" i="1"/>
  <c r="AE63" i="1"/>
  <c r="AF7" i="1"/>
  <c r="L16" i="1"/>
  <c r="N16" i="1" s="1"/>
  <c r="T16" i="1" s="1"/>
  <c r="X16" i="1" s="1"/>
  <c r="AY16" i="1" s="1"/>
  <c r="Q16" i="1"/>
  <c r="Q39" i="1" s="1"/>
  <c r="P16" i="1"/>
  <c r="AG16" i="1"/>
  <c r="AJ16" i="1"/>
  <c r="AJ43" i="1" s="1"/>
  <c r="AV48" i="1"/>
  <c r="AV49" i="1" s="1"/>
  <c r="W56" i="1"/>
  <c r="AI16" i="1" l="1"/>
  <c r="AI17" i="1"/>
  <c r="AI20" i="1"/>
  <c r="AI22" i="1"/>
  <c r="AI18" i="1"/>
  <c r="AI19" i="1"/>
  <c r="AI21" i="1"/>
  <c r="BC18" i="1"/>
  <c r="AP49" i="1"/>
  <c r="AS22" i="1"/>
  <c r="AS21" i="1"/>
  <c r="AS17" i="1"/>
  <c r="AS19" i="1"/>
  <c r="AS20" i="1"/>
  <c r="AS18" i="1"/>
  <c r="AS16" i="1"/>
  <c r="BB44" i="1"/>
  <c r="AJ44" i="1"/>
  <c r="R16" i="1"/>
  <c r="P39" i="1"/>
  <c r="AK44" i="1"/>
  <c r="AV44" i="1"/>
  <c r="AN49" i="1"/>
  <c r="Z16" i="1"/>
  <c r="BA16" i="1"/>
  <c r="AW48" i="1"/>
  <c r="AW49" i="1" s="1"/>
  <c r="AO49" i="1"/>
  <c r="BB16" i="1" l="1"/>
  <c r="BA39" i="1"/>
  <c r="AI41" i="1"/>
  <c r="AS41" i="1"/>
  <c r="R39" i="1"/>
  <c r="R41" i="1"/>
  <c r="BC44" i="1"/>
  <c r="BC16" i="1" l="1"/>
  <c r="BC39" i="1" s="1"/>
  <c r="BB39" i="1"/>
  <c r="BB42" i="1"/>
  <c r="BB46" i="1" s="1"/>
  <c r="Z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4" authorId="0" shapeId="0" xr:uid="{00000000-0006-0000-0000-000001000000}">
      <text>
        <r>
          <rPr>
            <sz val="16"/>
            <color rgb="FF000000"/>
            <rFont val="Tahoma"/>
            <family val="2"/>
            <charset val="1"/>
          </rPr>
          <t xml:space="preserve">From the 2013 NEC Cost book via Ryan Crawford
</t>
        </r>
      </text>
    </comment>
    <comment ref="AD52" authorId="0" shapeId="0" xr:uid="{00000000-0006-0000-0000-000003000000}">
      <text>
        <r>
          <rPr>
            <b/>
            <sz val="9"/>
            <color rgb="FF000000"/>
            <rFont val="Tahoma"/>
            <family val="2"/>
            <charset val="1"/>
          </rPr>
          <t>This supply is at the 80% limit</t>
        </r>
      </text>
    </comment>
  </commentList>
</comments>
</file>

<file path=xl/sharedStrings.xml><?xml version="1.0" encoding="utf-8"?>
<sst xmlns="http://schemas.openxmlformats.org/spreadsheetml/2006/main" count="300" uniqueCount="195">
  <si>
    <t>Ramp Cycle Time:</t>
  </si>
  <si>
    <t>Cabling Assumptions:</t>
  </si>
  <si>
    <t>Power Supply Assumptions:</t>
  </si>
  <si>
    <t xml:space="preserve"> </t>
  </si>
  <si>
    <t>M&amp;S</t>
  </si>
  <si>
    <t>Install</t>
  </si>
  <si>
    <t xml:space="preserve">Power Supply Loses = </t>
  </si>
  <si>
    <t>of Load losses</t>
  </si>
  <si>
    <t>500 kcmil:</t>
  </si>
  <si>
    <t>per ft</t>
  </si>
  <si>
    <t xml:space="preserve">Power Supply PF = </t>
  </si>
  <si>
    <t>for SM PSs</t>
  </si>
  <si>
    <t>(Voperating/Vmax) for SCR PSs</t>
  </si>
  <si>
    <t xml:space="preserve">Cost/watt for SM Power Supply = </t>
  </si>
  <si>
    <t>$/watt</t>
  </si>
  <si>
    <t xml:space="preserve">Cost/watt for SCR Power Supply = </t>
  </si>
  <si>
    <t>MAGNET  LOAD</t>
  </si>
  <si>
    <t>LOAD   CABLING</t>
  </si>
  <si>
    <t>LOAD  CHARACTERISTICS</t>
  </si>
  <si>
    <t>POWER   SUPPLY</t>
  </si>
  <si>
    <t>OTHER ITEMS</t>
  </si>
  <si>
    <t>FEEDERS</t>
  </si>
  <si>
    <t>CIRCUIT</t>
  </si>
  <si>
    <t>Number</t>
  </si>
  <si>
    <t>MAGNET</t>
  </si>
  <si>
    <t>Beamline</t>
  </si>
  <si>
    <t>#</t>
  </si>
  <si>
    <t>MAG.</t>
  </si>
  <si>
    <t>Cable
Type</t>
  </si>
  <si>
    <t>R/kFt</t>
  </si>
  <si>
    <t>L
1-way</t>
  </si>
  <si>
    <t>Cable 
RES.</t>
  </si>
  <si>
    <t>Cable Costs</t>
  </si>
  <si>
    <t>Total
Circuit 
Res.</t>
  </si>
  <si>
    <t>Peak
Current</t>
  </si>
  <si>
    <t>Min.
Current</t>
  </si>
  <si>
    <t>dI/dT</t>
  </si>
  <si>
    <t>Peak
VOLT.</t>
  </si>
  <si>
    <t>RMS
CURR.</t>
  </si>
  <si>
    <t>Peak
Power</t>
  </si>
  <si>
    <t>PS
Location</t>
  </si>
  <si>
    <t>PS
TYPE</t>
  </si>
  <si>
    <t>Max.
Volt</t>
  </si>
  <si>
    <t>Max.
Curr.</t>
  </si>
  <si>
    <t>PS
Rating</t>
  </si>
  <si>
    <t>Losses</t>
  </si>
  <si>
    <t>Power Supply Costs</t>
  </si>
  <si>
    <t>PS Installation Costs</t>
  </si>
  <si>
    <t>High Regulation</t>
  </si>
  <si>
    <t>Quench Protection</t>
  </si>
  <si>
    <t>AVE
PWR</t>
  </si>
  <si>
    <t>kVA</t>
  </si>
  <si>
    <t>Amps</t>
  </si>
  <si>
    <t>NAME</t>
  </si>
  <si>
    <t>of Circuits</t>
  </si>
  <si>
    <t>TYPE</t>
  </si>
  <si>
    <t>Location &amp;
Distance along beamline (ft)</t>
  </si>
  <si>
    <t>MODEL</t>
  </si>
  <si>
    <t>MAGs</t>
  </si>
  <si>
    <t>IND.</t>
  </si>
  <si>
    <t>RES.</t>
  </si>
  <si>
    <t>ohms</t>
  </si>
  <si>
    <t>(ft)</t>
  </si>
  <si>
    <t>M&amp;S
($k)</t>
  </si>
  <si>
    <t>Install
($k)</t>
  </si>
  <si>
    <t>Tot. Cir
($k)</t>
  </si>
  <si>
    <t>(amps)</t>
  </si>
  <si>
    <t>(A/s)</t>
  </si>
  <si>
    <t>(volts)</t>
  </si>
  <si>
    <t>(kW)</t>
  </si>
  <si>
    <t xml:space="preserve">SM or 
SCR </t>
  </si>
  <si>
    <t>Tech. 
Labor (hrs)</t>
  </si>
  <si>
    <t>Eng.
Labor
(hrs)</t>
  </si>
  <si>
    <t>Elect.
Labor
(hrs)</t>
  </si>
  <si>
    <t>I</t>
  </si>
  <si>
    <t>SM</t>
  </si>
  <si>
    <t># of Circuits</t>
  </si>
  <si>
    <t xml:space="preserve">TOTAL CABLE COSTS ($k): </t>
  </si>
  <si>
    <t xml:space="preserve">Total Peak Power: </t>
  </si>
  <si>
    <t>kW</t>
  </si>
  <si>
    <t>TOTAL PS COSTS, M&amp;S ($k):</t>
  </si>
  <si>
    <t>REGULATION INCREASE, M&amp;S ($k):</t>
  </si>
  <si>
    <t>Tech</t>
  </si>
  <si>
    <t>Eng</t>
  </si>
  <si>
    <t>TOTAL M&amp;S:</t>
  </si>
  <si>
    <t>NOTES:</t>
  </si>
  <si>
    <t xml:space="preserve">Total PS Labor (hrs): </t>
  </si>
  <si>
    <t>TOTAL LABOR:</t>
  </si>
  <si>
    <t>Eng.</t>
  </si>
  <si>
    <t>Elect.</t>
  </si>
  <si>
    <t>*</t>
  </si>
  <si>
    <t xml:space="preserve">(man-months): </t>
  </si>
  <si>
    <t>TOTAL QUENCH PROTECTION, M&amp;S ($k):</t>
  </si>
  <si>
    <t>Total PS Installation Costs, M&amp;S ($k):</t>
  </si>
  <si>
    <t>M&amp;S savings based on number of units were not applied to "Power Supply Costs" or "High Regulation" - this is our experience</t>
  </si>
  <si>
    <t xml:space="preserve">Total PS Installation Labor (hrs): </t>
  </si>
  <si>
    <t xml:space="preserve">Quench Prot. Labor (hrs): </t>
  </si>
  <si>
    <t>4-Quadrant Switch Mode PS Costs</t>
  </si>
  <si>
    <t>BASIC POWER SUPPLY COSTS</t>
  </si>
  <si>
    <t>For a single Power System, Rack and Filter</t>
  </si>
  <si>
    <t>For a Single power supply +/- 300 ppm regulation:</t>
  </si>
  <si>
    <t>For a Single power supply +/- 100 ppm regulation:</t>
  </si>
  <si>
    <t>M&amp;S COSTS</t>
  </si>
  <si>
    <t>$k</t>
  </si>
  <si>
    <t>SM POWER SUPPLY QUOTES</t>
  </si>
  <si>
    <t>480 VAC Contrls</t>
  </si>
  <si>
    <t>LEM (1 kamp)</t>
  </si>
  <si>
    <t>DCCT (1kamp)</t>
  </si>
  <si>
    <t>Ferm-built 65amp/150volt</t>
  </si>
  <si>
    <t>Manufacturer</t>
  </si>
  <si>
    <t>Volts</t>
  </si>
  <si>
    <t>Power</t>
  </si>
  <si>
    <t>Cost</t>
  </si>
  <si>
    <t>Inductors</t>
  </si>
  <si>
    <t xml:space="preserve">   Eng Estimate</t>
  </si>
  <si>
    <t>DAC</t>
  </si>
  <si>
    <t>10kW</t>
  </si>
  <si>
    <t>Caps and Res.</t>
  </si>
  <si>
    <t>DAC Card</t>
  </si>
  <si>
    <t>Raw power Supply</t>
  </si>
  <si>
    <t>Magna-Power</t>
  </si>
  <si>
    <t>Subtotal:</t>
  </si>
  <si>
    <t>($k)</t>
  </si>
  <si>
    <t>PC104</t>
  </si>
  <si>
    <t>PLC</t>
  </si>
  <si>
    <t>LABOR</t>
  </si>
  <si>
    <t>Electrician</t>
  </si>
  <si>
    <t>m-hrs</t>
  </si>
  <si>
    <t>Reg. Chassis</t>
  </si>
  <si>
    <t>SM Units</t>
  </si>
  <si>
    <t>hrs</t>
  </si>
  <si>
    <t>Power supply</t>
  </si>
  <si>
    <t>PS Int. Chassis</t>
  </si>
  <si>
    <t>Raw PSs and Rack</t>
  </si>
  <si>
    <t>Sorenson (SG)</t>
  </si>
  <si>
    <t>Rack</t>
  </si>
  <si>
    <t>LVPSs</t>
  </si>
  <si>
    <t>Lambda (GEN)</t>
  </si>
  <si>
    <t>TOTAL:</t>
  </si>
  <si>
    <t>Back Plane</t>
  </si>
  <si>
    <t>Engineering Estimate</t>
  </si>
  <si>
    <t>Design, layout, Raw PS</t>
  </si>
  <si>
    <t>Total:</t>
  </si>
  <si>
    <t>Total (M&amp;S):</t>
  </si>
  <si>
    <t xml:space="preserve">Manufacturer: </t>
  </si>
  <si>
    <t>votls</t>
  </si>
  <si>
    <t xml:space="preserve">Assembly: </t>
  </si>
  <si>
    <t>man-weeks</t>
  </si>
  <si>
    <t>(kw)</t>
  </si>
  <si>
    <t xml:space="preserve">Testing: </t>
  </si>
  <si>
    <t xml:space="preserve">Spang: </t>
  </si>
  <si>
    <t>Installation</t>
  </si>
  <si>
    <t xml:space="preserve">V/I  Regulator : </t>
  </si>
  <si>
    <t>$k ea</t>
  </si>
  <si>
    <t># of
cables 1 way</t>
  </si>
  <si>
    <t xml:space="preserve">PIP II QUAD MAGNET POWER SUPPLIES </t>
  </si>
  <si>
    <t>2010 Cost</t>
  </si>
  <si>
    <t>MAN-HOURS</t>
  </si>
  <si>
    <t>2010 $$</t>
  </si>
  <si>
    <t>TOTAL M&amp;S</t>
  </si>
  <si>
    <t>2018 $$</t>
  </si>
  <si>
    <t>Costs do not include cable tray in buildings, tunnels, cost of penetrations or load cable installation.</t>
  </si>
  <si>
    <t>SM V%</t>
  </si>
  <si>
    <t>SM I %</t>
  </si>
  <si>
    <t>1/0 AWG</t>
  </si>
  <si>
    <t>M&amp;S COSTS BASED ON 2018</t>
  </si>
  <si>
    <t>PHASE CONTROLLED (SCR) POWER SUPPLY COSTS</t>
  </si>
  <si>
    <t>Lambda Web Prices 5-21-19</t>
  </si>
  <si>
    <t>Calculation Equation</t>
  </si>
  <si>
    <t>Power(kW)</t>
  </si>
  <si>
    <t>See Calc</t>
  </si>
  <si>
    <t>(1.740.8*X^0.5823)+150</t>
  </si>
  <si>
    <t>Price(k$)</t>
  </si>
  <si>
    <t>Calculation(k$)</t>
  </si>
  <si>
    <t>$/kW</t>
  </si>
  <si>
    <t xml:space="preserve">(Fermi designed and built)   </t>
  </si>
  <si>
    <t>See Calc Tab</t>
  </si>
  <si>
    <t>Not used</t>
  </si>
  <si>
    <t>SCR</t>
  </si>
  <si>
    <t>CritDev1</t>
  </si>
  <si>
    <t>CritDev2</t>
  </si>
  <si>
    <t>Dipole_String</t>
  </si>
  <si>
    <t>Bstr_Injct</t>
  </si>
  <si>
    <t>Beam_Dump</t>
  </si>
  <si>
    <t>C-Magnet</t>
  </si>
  <si>
    <t>3-Way Septum</t>
  </si>
  <si>
    <t>Linac</t>
  </si>
  <si>
    <t>F3</t>
  </si>
  <si>
    <t>LInac</t>
  </si>
  <si>
    <t>Bstr</t>
  </si>
  <si>
    <t>BTL</t>
  </si>
  <si>
    <t>Dump Line</t>
  </si>
  <si>
    <t>BTL at Booster</t>
  </si>
  <si>
    <t>Dump Split</t>
  </si>
  <si>
    <t xml:space="preserve">Booster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</si>
</sst>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"/>
    <numFmt numFmtId="167" formatCode="\$#,##0.0"/>
    <numFmt numFmtId="168" formatCode="#,##0.0"/>
    <numFmt numFmtId="169" formatCode="&quot;$&quot;#,##0.00"/>
  </numFmts>
  <fonts count="49" x14ac:knownFonts="1">
    <font>
      <sz val="10"/>
      <name val="Arial"/>
      <charset val="1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sz val="11"/>
      <color rgb="FF006100"/>
      <name val="Calibri"/>
      <family val="2"/>
      <charset val="1"/>
    </font>
    <font>
      <sz val="12"/>
      <color rgb="FF006100"/>
      <name val="Calibri"/>
      <family val="2"/>
      <charset val="1"/>
    </font>
    <font>
      <u/>
      <sz val="10"/>
      <color rgb="FF0000FF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C00000"/>
      <name val="Arial"/>
      <family val="2"/>
      <charset val="1"/>
    </font>
    <font>
      <sz val="14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color rgb="FF008000"/>
      <name val="Arial"/>
      <family val="2"/>
      <charset val="1"/>
    </font>
    <font>
      <sz val="10"/>
      <color rgb="FF0070C0"/>
      <name val="Arial"/>
      <family val="2"/>
      <charset val="1"/>
    </font>
    <font>
      <sz val="11"/>
      <color rgb="FF9C0006"/>
      <name val="Calibri"/>
      <family val="2"/>
      <charset val="1"/>
    </font>
    <font>
      <sz val="14"/>
      <color rgb="FF9C0006"/>
      <name val="Calibri"/>
      <family val="2"/>
      <charset val="1"/>
    </font>
    <font>
      <sz val="18"/>
      <color rgb="FF9C0006"/>
      <name val="Calibri"/>
      <family val="2"/>
      <charset val="1"/>
    </font>
    <font>
      <sz val="12"/>
      <name val="Arial"/>
      <family val="2"/>
      <charset val="1"/>
    </font>
    <font>
      <u/>
      <sz val="14"/>
      <color rgb="FF9C0006"/>
      <name val="Calibri"/>
      <family val="2"/>
      <charset val="1"/>
    </font>
    <font>
      <u/>
      <sz val="14"/>
      <name val="Arial"/>
      <family val="2"/>
      <charset val="1"/>
    </font>
    <font>
      <sz val="18"/>
      <name val="Arial"/>
      <family val="2"/>
      <charset val="1"/>
    </font>
    <font>
      <b/>
      <sz val="18"/>
      <name val="Arial"/>
      <family val="2"/>
      <charset val="1"/>
    </font>
    <font>
      <sz val="18"/>
      <name val="Calibri"/>
      <family val="2"/>
      <charset val="1"/>
    </font>
    <font>
      <b/>
      <sz val="22"/>
      <name val="Arial"/>
      <family val="2"/>
      <charset val="1"/>
    </font>
    <font>
      <b/>
      <sz val="20"/>
      <color rgb="FFFF0000"/>
      <name val="Calibri"/>
      <family val="2"/>
      <charset val="1"/>
    </font>
    <font>
      <sz val="11"/>
      <name val="Arial"/>
      <family val="2"/>
      <charset val="1"/>
    </font>
    <font>
      <b/>
      <sz val="24"/>
      <color rgb="FFFF0000"/>
      <name val="Arial"/>
      <family val="2"/>
      <charset val="1"/>
    </font>
    <font>
      <sz val="16"/>
      <name val="Arial"/>
      <family val="2"/>
      <charset val="1"/>
    </font>
    <font>
      <sz val="14"/>
      <name val="Calibri"/>
      <family val="2"/>
      <charset val="1"/>
    </font>
    <font>
      <b/>
      <sz val="14"/>
      <name val="Calibri"/>
      <family val="2"/>
      <charset val="1"/>
    </font>
    <font>
      <b/>
      <sz val="24"/>
      <name val="Arial"/>
      <family val="2"/>
      <charset val="1"/>
    </font>
    <font>
      <b/>
      <u/>
      <sz val="14"/>
      <name val="Arial"/>
      <family val="2"/>
      <charset val="1"/>
    </font>
    <font>
      <b/>
      <u/>
      <sz val="12"/>
      <color rgb="FF9C0006"/>
      <name val="Calibri"/>
      <family val="2"/>
      <charset val="1"/>
    </font>
    <font>
      <sz val="9"/>
      <color rgb="FF006100"/>
      <name val="Calibri"/>
      <family val="2"/>
      <charset val="1"/>
    </font>
    <font>
      <b/>
      <sz val="11"/>
      <color rgb="FF006100"/>
      <name val="Calibri"/>
      <family val="2"/>
      <charset val="1"/>
    </font>
    <font>
      <sz val="9"/>
      <color rgb="FF9C0006"/>
      <name val="Calibri"/>
      <family val="2"/>
      <charset val="1"/>
    </font>
    <font>
      <b/>
      <sz val="11"/>
      <color rgb="FF9C0006"/>
      <name val="Calibri"/>
      <family val="2"/>
      <charset val="1"/>
    </font>
    <font>
      <sz val="12"/>
      <color rgb="FFFF0000"/>
      <name val="Calibri"/>
      <family val="2"/>
      <charset val="1"/>
    </font>
    <font>
      <b/>
      <sz val="14"/>
      <color rgb="FF9C0006"/>
      <name val="Calibri"/>
      <family val="2"/>
      <charset val="1"/>
    </font>
    <font>
      <sz val="9"/>
      <name val="Arial"/>
      <family val="2"/>
      <charset val="1"/>
    </font>
    <font>
      <b/>
      <sz val="9"/>
      <color rgb="FF000000"/>
      <name val="Tahoma"/>
      <family val="2"/>
      <charset val="1"/>
    </font>
    <font>
      <sz val="16"/>
      <color rgb="FF000000"/>
      <name val="Tahoma"/>
      <family val="2"/>
      <charset val="1"/>
    </font>
    <font>
      <sz val="10"/>
      <name val="Arial"/>
      <family val="2"/>
    </font>
    <font>
      <sz val="14"/>
      <name val="Arial"/>
      <family val="2"/>
    </font>
    <font>
      <sz val="20"/>
      <name val="Calibri Light"/>
      <family val="2"/>
      <scheme val="major"/>
    </font>
    <font>
      <sz val="18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11"/>
      <color theme="0"/>
      <name val="Calibri"/>
      <family val="2"/>
      <charset val="1"/>
    </font>
    <font>
      <sz val="9"/>
      <color theme="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D9F1"/>
      </patternFill>
    </fill>
    <fill>
      <patternFill patternType="solid">
        <fgColor rgb="FFFFC7CE"/>
        <bgColor rgb="FFFCD5B5"/>
      </patternFill>
    </fill>
    <fill>
      <patternFill patternType="solid">
        <fgColor rgb="FFA7C0DE"/>
        <bgColor rgb="FFC6D9F1"/>
      </patternFill>
    </fill>
    <fill>
      <patternFill patternType="solid">
        <fgColor rgb="FFFDEADA"/>
        <bgColor rgb="FFFCD5B5"/>
      </patternFill>
    </fill>
    <fill>
      <patternFill patternType="solid">
        <fgColor rgb="FFC6D9F1"/>
        <bgColor rgb="FFC6EFCE"/>
      </patternFill>
    </fill>
    <fill>
      <patternFill patternType="solid">
        <fgColor rgb="FFFF0000"/>
        <bgColor rgb="FFC6D9F1"/>
      </patternFill>
    </fill>
  </fills>
  <borders count="43">
    <border>
      <left/>
      <right/>
      <top/>
      <bottom/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/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thin">
        <color auto="1"/>
      </bottom>
      <diagonal/>
    </border>
    <border>
      <left style="double">
        <color rgb="FFFFC000"/>
      </left>
      <right style="double">
        <color rgb="FFFFC000"/>
      </right>
      <top style="double">
        <color rgb="FFFFC000"/>
      </top>
      <bottom style="thin">
        <color auto="1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thin">
        <color auto="1"/>
      </bottom>
      <diagonal/>
    </border>
    <border>
      <left style="double">
        <color rgb="FFFF0000"/>
      </left>
      <right/>
      <top style="double">
        <color rgb="FFFF0000"/>
      </top>
      <bottom style="thin">
        <color auto="1"/>
      </bottom>
      <diagonal/>
    </border>
    <border>
      <left/>
      <right/>
      <top style="double">
        <color rgb="FFFF0000"/>
      </top>
      <bottom style="thin">
        <color auto="1"/>
      </bottom>
      <diagonal/>
    </border>
    <border>
      <left/>
      <right style="double">
        <color rgb="FFFF0000"/>
      </right>
      <top style="double">
        <color rgb="FFFF0000"/>
      </top>
      <bottom style="thin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thin">
        <color auto="1"/>
      </bottom>
      <diagonal/>
    </border>
    <border>
      <left style="double">
        <color rgb="FF92D050"/>
      </left>
      <right style="double">
        <color rgb="FF92D050"/>
      </right>
      <top/>
      <bottom/>
      <diagonal/>
    </border>
    <border>
      <left style="double">
        <color rgb="FF00B0F0"/>
      </left>
      <right/>
      <top/>
      <bottom/>
      <diagonal/>
    </border>
    <border>
      <left/>
      <right style="double">
        <color rgb="FF00B0F0"/>
      </right>
      <top/>
      <bottom/>
      <diagonal/>
    </border>
    <border>
      <left style="double">
        <color rgb="FFFFC000"/>
      </left>
      <right/>
      <top/>
      <bottom/>
      <diagonal/>
    </border>
    <border>
      <left/>
      <right style="double">
        <color rgb="FFFFC000"/>
      </right>
      <top/>
      <bottom/>
      <diagonal/>
    </border>
    <border>
      <left style="double">
        <color rgb="FF7030A0"/>
      </left>
      <right/>
      <top/>
      <bottom/>
      <diagonal/>
    </border>
    <border>
      <left/>
      <right style="double">
        <color rgb="FF7030A0"/>
      </right>
      <top/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C00000"/>
      </left>
      <right/>
      <top/>
      <bottom/>
      <diagonal/>
    </border>
    <border>
      <left/>
      <right style="double">
        <color rgb="FFC00000"/>
      </right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/>
      <right style="double">
        <color rgb="FF00B0F0"/>
      </right>
      <top/>
      <bottom style="double">
        <color rgb="FF00B0F0"/>
      </bottom>
      <diagonal/>
    </border>
    <border>
      <left style="double">
        <color rgb="FFFFC000"/>
      </left>
      <right/>
      <top/>
      <bottom style="double">
        <color rgb="FFFFC000"/>
      </bottom>
      <diagonal/>
    </border>
    <border>
      <left/>
      <right/>
      <top/>
      <bottom style="double">
        <color rgb="FFFFC000"/>
      </bottom>
      <diagonal/>
    </border>
    <border>
      <left style="double">
        <color rgb="FF7030A0"/>
      </left>
      <right/>
      <top/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/>
      <right style="double">
        <color rgb="FF7030A0"/>
      </right>
      <top/>
      <bottom style="double">
        <color rgb="FF7030A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C00000"/>
      </left>
      <right/>
      <top style="thin">
        <color auto="1"/>
      </top>
      <bottom style="double">
        <color rgb="FFC00000"/>
      </bottom>
      <diagonal/>
    </border>
    <border>
      <left/>
      <right/>
      <top style="thin">
        <color auto="1"/>
      </top>
      <bottom style="double">
        <color rgb="FFC00000"/>
      </bottom>
      <diagonal/>
    </border>
    <border>
      <left/>
      <right style="double">
        <color rgb="FFC00000"/>
      </right>
      <top style="thin">
        <color auto="1"/>
      </top>
      <bottom style="double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 applyBorder="0" applyProtection="0"/>
    <xf numFmtId="0" fontId="13" fillId="3" borderId="0" applyBorder="0" applyProtection="0"/>
    <xf numFmtId="0" fontId="41" fillId="0" borderId="0"/>
  </cellStyleXfs>
  <cellXfs count="3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2" borderId="0" xfId="2" applyFont="1" applyFill="1" applyBorder="1" applyAlignment="1" applyProtection="1">
      <alignment horizontal="left"/>
    </xf>
    <xf numFmtId="0" fontId="3" fillId="2" borderId="0" xfId="2" applyFont="1" applyFill="1" applyBorder="1" applyAlignment="1" applyProtection="1">
      <alignment horizontal="right"/>
    </xf>
    <xf numFmtId="165" fontId="3" fillId="2" borderId="0" xfId="2" applyNumberFormat="1" applyFont="1" applyFill="1" applyBorder="1" applyAlignment="1" applyProtection="1">
      <alignment horizontal="center"/>
    </xf>
    <xf numFmtId="165" fontId="3" fillId="2" borderId="0" xfId="2" applyNumberFormat="1" applyFont="1" applyFill="1" applyBorder="1" applyAlignment="1" applyProtection="1">
      <alignment horizontal="left"/>
    </xf>
    <xf numFmtId="11" fontId="3" fillId="2" borderId="0" xfId="2" applyNumberFormat="1" applyFont="1" applyFill="1" applyBorder="1" applyAlignment="1" applyProtection="1">
      <alignment horizontal="left"/>
    </xf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6" fontId="3" fillId="2" borderId="0" xfId="2" applyNumberFormat="1" applyFont="1" applyFill="1" applyBorder="1" applyAlignment="1" applyProtection="1">
      <alignment horizontal="left"/>
    </xf>
    <xf numFmtId="1" fontId="3" fillId="2" borderId="0" xfId="2" applyNumberFormat="1" applyFont="1" applyFill="1" applyBorder="1" applyAlignment="1" applyProtection="1">
      <alignment horizontal="left"/>
    </xf>
    <xf numFmtId="0" fontId="4" fillId="2" borderId="0" xfId="2" applyFont="1" applyFill="1" applyBorder="1" applyAlignment="1" applyProtection="1">
      <alignment horizontal="left"/>
    </xf>
    <xf numFmtId="2" fontId="0" fillId="0" borderId="0" xfId="0" applyNumberFormat="1" applyAlignment="1">
      <alignment horizontal="left"/>
    </xf>
    <xf numFmtId="0" fontId="3" fillId="0" borderId="0" xfId="2" applyFont="1" applyFill="1" applyBorder="1" applyAlignment="1" applyProtection="1">
      <alignment horizontal="right"/>
    </xf>
    <xf numFmtId="1" fontId="3" fillId="0" borderId="0" xfId="2" applyNumberFormat="1" applyFont="1" applyFill="1" applyBorder="1" applyAlignment="1" applyProtection="1">
      <alignment horizontal="center"/>
    </xf>
    <xf numFmtId="164" fontId="3" fillId="0" borderId="0" xfId="2" applyNumberFormat="1" applyFont="1" applyFill="1" applyBorder="1" applyAlignment="1" applyProtection="1">
      <alignment horizontal="left"/>
    </xf>
    <xf numFmtId="9" fontId="3" fillId="2" borderId="0" xfId="2" applyNumberFormat="1" applyFont="1" applyFill="1" applyBorder="1" applyAlignment="1" applyProtection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left"/>
    </xf>
    <xf numFmtId="11" fontId="3" fillId="2" borderId="0" xfId="2" applyNumberFormat="1" applyFont="1" applyFill="1" applyBorder="1" applyAlignment="1" applyProtection="1">
      <alignment horizontal="right"/>
    </xf>
    <xf numFmtId="167" fontId="5" fillId="2" borderId="0" xfId="1" applyNumberForma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left"/>
    </xf>
    <xf numFmtId="167" fontId="3" fillId="2" borderId="0" xfId="2" applyNumberFormat="1" applyFont="1" applyFill="1" applyBorder="1" applyAlignment="1" applyProtection="1">
      <alignment horizontal="left"/>
    </xf>
    <xf numFmtId="1" fontId="0" fillId="0" borderId="0" xfId="0" applyNumberFormat="1"/>
    <xf numFmtId="2" fontId="3" fillId="2" borderId="0" xfId="2" applyNumberFormat="1" applyFont="1" applyFill="1" applyBorder="1" applyAlignment="1" applyProtection="1">
      <alignment horizontal="left"/>
    </xf>
    <xf numFmtId="164" fontId="0" fillId="0" borderId="0" xfId="0" applyNumberFormat="1" applyAlignment="1">
      <alignment horizontal="left"/>
    </xf>
    <xf numFmtId="0" fontId="3" fillId="2" borderId="0" xfId="2" applyFont="1" applyFill="1" applyBorder="1" applyAlignment="1" applyProtection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165" fontId="3" fillId="0" borderId="0" xfId="2" applyNumberFormat="1" applyFont="1" applyFill="1" applyBorder="1" applyAlignment="1" applyProtection="1">
      <alignment horizontal="left"/>
    </xf>
    <xf numFmtId="11" fontId="3" fillId="0" borderId="0" xfId="2" applyNumberFormat="1" applyFont="1" applyFill="1" applyBorder="1" applyAlignment="1" applyProtection="1">
      <alignment horizontal="left"/>
    </xf>
    <xf numFmtId="167" fontId="3" fillId="0" borderId="0" xfId="2" applyNumberFormat="1" applyFont="1" applyFill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1" fontId="1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1" fontId="1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1" fontId="0" fillId="0" borderId="13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168" fontId="0" fillId="0" borderId="0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10" fillId="0" borderId="32" xfId="0" applyNumberFormat="1" applyFont="1" applyBorder="1" applyAlignment="1">
      <alignment horizontal="center" vertical="center"/>
    </xf>
    <xf numFmtId="166" fontId="10" fillId="0" borderId="33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4" fillId="5" borderId="0" xfId="2" applyFont="1" applyFill="1" applyBorder="1" applyAlignment="1" applyProtection="1">
      <alignment horizontal="center"/>
    </xf>
    <xf numFmtId="165" fontId="14" fillId="5" borderId="0" xfId="2" applyNumberFormat="1" applyFont="1" applyFill="1" applyBorder="1" applyAlignment="1" applyProtection="1">
      <alignment horizontal="center"/>
    </xf>
    <xf numFmtId="165" fontId="15" fillId="5" borderId="0" xfId="2" applyNumberFormat="1" applyFont="1" applyFill="1" applyBorder="1" applyAlignment="1" applyProtection="1">
      <alignment horizontal="center"/>
    </xf>
    <xf numFmtId="165" fontId="15" fillId="5" borderId="0" xfId="2" applyNumberFormat="1" applyFont="1" applyFill="1" applyBorder="1" applyAlignment="1" applyProtection="1">
      <alignment horizontal="right"/>
    </xf>
    <xf numFmtId="166" fontId="15" fillId="5" borderId="0" xfId="2" applyNumberFormat="1" applyFont="1" applyFill="1" applyBorder="1" applyAlignment="1" applyProtection="1">
      <alignment horizontal="center"/>
    </xf>
    <xf numFmtId="1" fontId="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4" fillId="0" borderId="0" xfId="2" applyFont="1" applyFill="1" applyBorder="1" applyAlignment="1" applyProtection="1">
      <alignment horizontal="center"/>
    </xf>
    <xf numFmtId="1" fontId="14" fillId="5" borderId="0" xfId="2" applyNumberFormat="1" applyFont="1" applyFill="1" applyBorder="1" applyAlignment="1" applyProtection="1">
      <alignment horizontal="center"/>
    </xf>
    <xf numFmtId="0" fontId="13" fillId="5" borderId="0" xfId="2" applyFill="1" applyBorder="1" applyAlignment="1" applyProtection="1">
      <alignment horizontal="center"/>
    </xf>
    <xf numFmtId="0" fontId="17" fillId="5" borderId="0" xfId="2" applyFont="1" applyFill="1" applyBorder="1" applyAlignment="1" applyProtection="1">
      <alignment horizontal="right"/>
    </xf>
    <xf numFmtId="166" fontId="14" fillId="5" borderId="0" xfId="2" applyNumberFormat="1" applyFont="1" applyFill="1" applyBorder="1" applyAlignment="1" applyProtection="1">
      <alignment horizontal="center"/>
    </xf>
    <xf numFmtId="1" fontId="6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right"/>
    </xf>
    <xf numFmtId="1" fontId="13" fillId="5" borderId="0" xfId="2" applyNumberFormat="1" applyFill="1" applyBorder="1" applyAlignment="1" applyProtection="1">
      <alignment horizontal="center"/>
    </xf>
    <xf numFmtId="166" fontId="14" fillId="5" borderId="0" xfId="2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2" applyFill="1" applyBorder="1" applyAlignment="1" applyProtection="1">
      <alignment horizontal="center"/>
    </xf>
    <xf numFmtId="2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66" fontId="17" fillId="5" borderId="0" xfId="2" applyNumberFormat="1" applyFont="1" applyFill="1" applyBorder="1" applyAlignment="1" applyProtection="1">
      <alignment horizontal="right"/>
    </xf>
    <xf numFmtId="1" fontId="21" fillId="0" borderId="0" xfId="2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2" fontId="23" fillId="0" borderId="0" xfId="2" applyNumberFormat="1" applyFont="1" applyFill="1" applyBorder="1" applyAlignment="1" applyProtection="1">
      <alignment horizontal="left"/>
    </xf>
    <xf numFmtId="166" fontId="14" fillId="5" borderId="0" xfId="2" applyNumberFormat="1" applyFont="1" applyFill="1" applyBorder="1" applyAlignment="1" applyProtection="1">
      <alignment horizontal="right"/>
    </xf>
    <xf numFmtId="0" fontId="0" fillId="5" borderId="0" xfId="0" applyFill="1" applyAlignment="1">
      <alignment horizontal="center"/>
    </xf>
    <xf numFmtId="2" fontId="8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" fontId="13" fillId="0" borderId="0" xfId="2" applyNumberFormat="1" applyFill="1" applyBorder="1" applyAlignment="1" applyProtection="1">
      <alignment horizontal="center"/>
    </xf>
    <xf numFmtId="166" fontId="13" fillId="0" borderId="0" xfId="2" applyNumberFormat="1" applyFill="1" applyBorder="1" applyAlignment="1" applyProtection="1">
      <alignment horizontal="center"/>
    </xf>
    <xf numFmtId="2" fontId="24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left"/>
    </xf>
    <xf numFmtId="1" fontId="26" fillId="0" borderId="0" xfId="0" applyNumberFormat="1" applyFont="1" applyAlignment="1">
      <alignment horizontal="left"/>
    </xf>
    <xf numFmtId="0" fontId="14" fillId="5" borderId="0" xfId="2" applyFont="1" applyFill="1" applyBorder="1" applyAlignment="1" applyProtection="1">
      <alignment horizontal="right"/>
    </xf>
    <xf numFmtId="1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166" fontId="28" fillId="0" borderId="0" xfId="0" applyNumberFormat="1" applyFont="1" applyAlignment="1">
      <alignment horizontal="center" vertical="center"/>
    </xf>
    <xf numFmtId="2" fontId="29" fillId="0" borderId="0" xfId="0" applyNumberFormat="1" applyFont="1" applyAlignment="1">
      <alignment horizontal="center"/>
    </xf>
    <xf numFmtId="0" fontId="30" fillId="6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1" fontId="0" fillId="6" borderId="0" xfId="0" applyNumberFormat="1" applyFill="1" applyAlignment="1">
      <alignment horizontal="center"/>
    </xf>
    <xf numFmtId="165" fontId="13" fillId="3" borderId="0" xfId="2" applyNumberFormat="1" applyBorder="1" applyAlignment="1" applyProtection="1">
      <alignment horizontal="center"/>
    </xf>
    <xf numFmtId="11" fontId="13" fillId="3" borderId="0" xfId="2" applyNumberFormat="1" applyBorder="1" applyAlignment="1" applyProtection="1">
      <alignment horizontal="center"/>
    </xf>
    <xf numFmtId="0" fontId="31" fillId="3" borderId="0" xfId="2" applyFont="1" applyBorder="1" applyAlignment="1" applyProtection="1">
      <alignment horizontal="center"/>
    </xf>
    <xf numFmtId="0" fontId="13" fillId="3" borderId="0" xfId="2" applyBorder="1" applyAlignment="1" applyProtection="1">
      <alignment horizontal="center"/>
    </xf>
    <xf numFmtId="165" fontId="32" fillId="2" borderId="0" xfId="2" applyNumberFormat="1" applyFont="1" applyFill="1" applyBorder="1" applyAlignment="1" applyProtection="1">
      <alignment horizontal="center"/>
    </xf>
    <xf numFmtId="0" fontId="33" fillId="2" borderId="0" xfId="2" applyFont="1" applyFill="1" applyBorder="1" applyAlignment="1" applyProtection="1"/>
    <xf numFmtId="0" fontId="32" fillId="2" borderId="0" xfId="2" applyFont="1" applyFill="1" applyBorder="1" applyAlignment="1" applyProtection="1"/>
    <xf numFmtId="1" fontId="32" fillId="2" borderId="0" xfId="2" applyNumberFormat="1" applyFont="1" applyFill="1" applyBorder="1" applyAlignment="1" applyProtection="1"/>
    <xf numFmtId="166" fontId="34" fillId="3" borderId="0" xfId="2" applyNumberFormat="1" applyFont="1" applyBorder="1" applyAlignment="1" applyProtection="1">
      <alignment horizontal="center"/>
    </xf>
    <xf numFmtId="0" fontId="35" fillId="3" borderId="0" xfId="2" applyFont="1" applyBorder="1" applyAlignment="1" applyProtection="1"/>
    <xf numFmtId="0" fontId="34" fillId="3" borderId="0" xfId="2" applyFont="1" applyBorder="1" applyAlignment="1" applyProtection="1"/>
    <xf numFmtId="166" fontId="34" fillId="3" borderId="0" xfId="2" applyNumberFormat="1" applyFont="1" applyBorder="1" applyAlignment="1" applyProtection="1"/>
    <xf numFmtId="0" fontId="32" fillId="2" borderId="0" xfId="2" applyFont="1" applyFill="1" applyBorder="1" applyAlignment="1" applyProtection="1">
      <alignment horizontal="center"/>
    </xf>
    <xf numFmtId="0" fontId="32" fillId="0" borderId="0" xfId="2" applyFont="1" applyFill="1" applyBorder="1" applyAlignment="1" applyProtection="1"/>
    <xf numFmtId="2" fontId="36" fillId="0" borderId="0" xfId="2" applyNumberFormat="1" applyFont="1" applyFill="1" applyBorder="1" applyAlignment="1" applyProtection="1">
      <alignment horizontal="center"/>
    </xf>
    <xf numFmtId="0" fontId="10" fillId="6" borderId="0" xfId="0" applyFont="1" applyFill="1" applyAlignment="1">
      <alignment horizontal="center"/>
    </xf>
    <xf numFmtId="1" fontId="10" fillId="6" borderId="0" xfId="0" applyNumberFormat="1" applyFont="1" applyFill="1" applyAlignment="1">
      <alignment horizontal="center"/>
    </xf>
    <xf numFmtId="165" fontId="35" fillId="3" borderId="0" xfId="2" applyNumberFormat="1" applyFont="1" applyBorder="1" applyAlignment="1" applyProtection="1">
      <alignment horizontal="left"/>
    </xf>
    <xf numFmtId="11" fontId="34" fillId="3" borderId="0" xfId="2" applyNumberFormat="1" applyFont="1" applyBorder="1" applyAlignment="1" applyProtection="1">
      <alignment horizontal="center"/>
    </xf>
    <xf numFmtId="0" fontId="34" fillId="3" borderId="0" xfId="2" applyFont="1" applyBorder="1" applyAlignment="1" applyProtection="1">
      <alignment horizontal="center"/>
    </xf>
    <xf numFmtId="165" fontId="34" fillId="3" borderId="0" xfId="2" applyNumberFormat="1" applyFont="1" applyBorder="1" applyAlignment="1" applyProtection="1">
      <alignment horizontal="center"/>
    </xf>
    <xf numFmtId="0" fontId="32" fillId="2" borderId="0" xfId="2" applyFont="1" applyFill="1" applyBorder="1" applyAlignment="1" applyProtection="1">
      <alignment horizontal="right"/>
    </xf>
    <xf numFmtId="0" fontId="34" fillId="3" borderId="0" xfId="2" applyFont="1" applyBorder="1" applyAlignment="1" applyProtection="1">
      <alignment horizontal="right"/>
    </xf>
    <xf numFmtId="1" fontId="32" fillId="2" borderId="0" xfId="2" applyNumberFormat="1" applyFont="1" applyFill="1" applyBorder="1" applyAlignment="1" applyProtection="1">
      <alignment horizontal="center"/>
    </xf>
    <xf numFmtId="2" fontId="32" fillId="0" borderId="0" xfId="2" applyNumberFormat="1" applyFont="1" applyFill="1" applyBorder="1" applyAlignment="1" applyProtection="1"/>
    <xf numFmtId="0" fontId="1" fillId="6" borderId="0" xfId="0" applyFont="1" applyFill="1" applyAlignment="1">
      <alignment horizontal="left"/>
    </xf>
    <xf numFmtId="11" fontId="34" fillId="3" borderId="0" xfId="2" applyNumberFormat="1" applyFont="1" applyBorder="1" applyAlignment="1" applyProtection="1">
      <alignment horizontal="right"/>
    </xf>
    <xf numFmtId="0" fontId="1" fillId="6" borderId="0" xfId="0" applyFont="1" applyFill="1" applyAlignment="1">
      <alignment horizontal="right"/>
    </xf>
    <xf numFmtId="1" fontId="1" fillId="6" borderId="0" xfId="0" applyNumberFormat="1" applyFont="1" applyFill="1" applyAlignment="1">
      <alignment horizontal="center"/>
    </xf>
    <xf numFmtId="166" fontId="13" fillId="3" borderId="0" xfId="2" applyNumberFormat="1" applyBorder="1" applyAlignment="1" applyProtection="1">
      <alignment horizontal="center"/>
    </xf>
    <xf numFmtId="0" fontId="37" fillId="3" borderId="0" xfId="2" applyFont="1" applyBorder="1" applyAlignment="1" applyProtection="1">
      <alignment horizontal="left"/>
    </xf>
    <xf numFmtId="1" fontId="3" fillId="2" borderId="0" xfId="2" applyNumberFormat="1" applyFont="1" applyFill="1" applyBorder="1" applyAlignment="1" applyProtection="1"/>
    <xf numFmtId="0" fontId="13" fillId="3" borderId="0" xfId="2" applyFont="1" applyBorder="1" applyAlignment="1" applyProtection="1">
      <alignment horizontal="right"/>
    </xf>
    <xf numFmtId="1" fontId="3" fillId="2" borderId="0" xfId="2" applyNumberFormat="1" applyFont="1" applyFill="1" applyBorder="1" applyAlignment="1" applyProtection="1">
      <alignment horizontal="right"/>
    </xf>
    <xf numFmtId="1" fontId="3" fillId="2" borderId="0" xfId="2" applyNumberFormat="1" applyFont="1" applyFill="1" applyBorder="1" applyAlignment="1" applyProtection="1">
      <alignment horizontal="center"/>
    </xf>
    <xf numFmtId="166" fontId="38" fillId="0" borderId="0" xfId="0" applyNumberFormat="1" applyFont="1" applyAlignment="1">
      <alignment horizontal="center"/>
    </xf>
    <xf numFmtId="1" fontId="34" fillId="3" borderId="0" xfId="2" applyNumberFormat="1" applyFont="1" applyBorder="1" applyAlignment="1" applyProtection="1">
      <alignment horizontal="center"/>
    </xf>
    <xf numFmtId="165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2" fontId="32" fillId="2" borderId="0" xfId="2" applyNumberFormat="1" applyFont="1" applyFill="1" applyBorder="1" applyAlignment="1" applyProtection="1"/>
    <xf numFmtId="165" fontId="13" fillId="3" borderId="0" xfId="2" applyNumberFormat="1" applyFont="1" applyBorder="1" applyAlignment="1" applyProtection="1">
      <alignment horizontal="right"/>
    </xf>
    <xf numFmtId="166" fontId="1" fillId="0" borderId="0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11" fontId="1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6" fontId="44" fillId="0" borderId="36" xfId="0" applyNumberFormat="1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/>
    <xf numFmtId="165" fontId="43" fillId="0" borderId="40" xfId="0" applyNumberFormat="1" applyFont="1" applyBorder="1" applyAlignment="1">
      <alignment horizontal="left"/>
    </xf>
    <xf numFmtId="1" fontId="0" fillId="0" borderId="41" xfId="0" applyNumberFormat="1" applyBorder="1" applyAlignment="1">
      <alignment horizontal="center"/>
    </xf>
    <xf numFmtId="166" fontId="0" fillId="0" borderId="41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166" fontId="4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3" fillId="7" borderId="0" xfId="2" applyNumberFormat="1" applyFont="1" applyFill="1" applyBorder="1" applyAlignment="1" applyProtection="1">
      <alignment horizontal="left"/>
    </xf>
    <xf numFmtId="1" fontId="46" fillId="0" borderId="0" xfId="0" applyNumberFormat="1" applyFont="1" applyAlignment="1">
      <alignment horizontal="left"/>
    </xf>
    <xf numFmtId="166" fontId="46" fillId="0" borderId="0" xfId="0" applyNumberFormat="1" applyFont="1" applyAlignment="1">
      <alignment horizontal="left"/>
    </xf>
    <xf numFmtId="169" fontId="46" fillId="0" borderId="0" xfId="0" applyNumberFormat="1" applyFont="1" applyAlignment="1">
      <alignment horizontal="left"/>
    </xf>
    <xf numFmtId="0" fontId="41" fillId="0" borderId="0" xfId="3"/>
    <xf numFmtId="165" fontId="41" fillId="0" borderId="0" xfId="3" applyNumberFormat="1" applyAlignment="1">
      <alignment horizontal="center"/>
    </xf>
    <xf numFmtId="0" fontId="41" fillId="0" borderId="0" xfId="3" applyFont="1" applyAlignment="1">
      <alignment horizontal="center"/>
    </xf>
    <xf numFmtId="0" fontId="41" fillId="0" borderId="0" xfId="3" quotePrefix="1"/>
    <xf numFmtId="40" fontId="41" fillId="0" borderId="0" xfId="3" applyNumberFormat="1" applyAlignment="1">
      <alignment horizontal="center"/>
    </xf>
    <xf numFmtId="40" fontId="41" fillId="0" borderId="0" xfId="3" applyNumberFormat="1" applyAlignment="1">
      <alignment horizont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3" fillId="3" borderId="0" xfId="2" quotePrefix="1" applyNumberFormat="1" applyBorder="1" applyAlignment="1" applyProtection="1">
      <alignment horizontal="center"/>
    </xf>
    <xf numFmtId="165" fontId="47" fillId="3" borderId="0" xfId="2" applyNumberFormat="1" applyFont="1" applyBorder="1" applyAlignment="1" applyProtection="1">
      <alignment horizontal="center"/>
    </xf>
    <xf numFmtId="11" fontId="48" fillId="3" borderId="0" xfId="2" applyNumberFormat="1" applyFont="1" applyBorder="1" applyAlignment="1" applyProtection="1">
      <alignment horizontal="right"/>
    </xf>
    <xf numFmtId="0" fontId="48" fillId="3" borderId="0" xfId="2" applyFont="1" applyBorder="1" applyAlignment="1" applyProtection="1">
      <alignment horizontal="center"/>
    </xf>
    <xf numFmtId="166" fontId="48" fillId="3" borderId="0" xfId="2" applyNumberFormat="1" applyFont="1" applyBorder="1" applyAlignment="1" applyProtection="1">
      <alignment horizontal="center"/>
    </xf>
    <xf numFmtId="165" fontId="48" fillId="3" borderId="0" xfId="2" applyNumberFormat="1" applyFont="1" applyBorder="1" applyAlignment="1" applyProtection="1">
      <alignment horizontal="center"/>
    </xf>
    <xf numFmtId="0" fontId="0" fillId="0" borderId="13" xfId="0" quotePrefix="1" applyNumberFormat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1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2" fontId="45" fillId="0" borderId="35" xfId="0" applyNumberFormat="1" applyFont="1" applyBorder="1" applyAlignment="1">
      <alignment horizontal="center"/>
    </xf>
    <xf numFmtId="2" fontId="45" fillId="0" borderId="36" xfId="0" applyNumberFormat="1" applyFont="1" applyBorder="1" applyAlignment="1">
      <alignment horizontal="center"/>
    </xf>
    <xf numFmtId="2" fontId="42" fillId="0" borderId="38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</cellXfs>
  <cellStyles count="4">
    <cellStyle name="Explanatory Text" xfId="2" builtinId="53" customBuiltin="1"/>
    <cellStyle name="Hyperlink" xfId="1" builtinId="8"/>
    <cellStyle name="Normal" xfId="0" builtinId="0"/>
    <cellStyle name="Normal 2" xfId="3" xr:uid="{F2208217-A49D-4659-BBB1-FC8AFA960B72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FFC7CE"/>
      <rgbColor rgb="FF808080"/>
      <rgbColor rgb="FF9999FF"/>
      <rgbColor rgb="FF7030A0"/>
      <rgbColor rgb="FFFDEADA"/>
      <rgbColor rgb="FFCCFFFF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B0F0"/>
      <rgbColor rgb="FFCCFFFF"/>
      <rgbColor rgb="FFC6EFCE"/>
      <rgbColor rgb="FFFFFF99"/>
      <rgbColor rgb="FFA7C0DE"/>
      <rgbColor rgb="FFFF99CC"/>
      <rgbColor rgb="FFCC99FF"/>
      <rgbColor rgb="FFFCD5B5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61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Actual</c:v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power"/>
            <c:dispRSqr val="0"/>
            <c:dispEq val="1"/>
            <c:trendlineLbl>
              <c:layout>
                <c:manualLayout>
                  <c:x val="-0.29025995162833662"/>
                  <c:y val="-9.0240716232529355E-2"/>
                </c:manualLayout>
              </c:layout>
              <c:numFmt formatCode="General" sourceLinked="0"/>
            </c:trendlineLbl>
          </c:trendline>
          <c:xVal>
            <c:numRef>
              <c:f>'$ per W Calc'!$A$6:$A$12</c:f>
              <c:numCache>
                <c:formatCode>General</c:formatCode>
                <c:ptCount val="7"/>
                <c:pt idx="0">
                  <c:v>0.75</c:v>
                </c:pt>
                <c:pt idx="1">
                  <c:v>1.5</c:v>
                </c:pt>
                <c:pt idx="2">
                  <c:v>2.4</c:v>
                </c:pt>
                <c:pt idx="3">
                  <c:v>3.3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</c:numCache>
            </c:numRef>
          </c:xVal>
          <c:yVal>
            <c:numRef>
              <c:f>'$ per W Calc'!$B$6:$B$12</c:f>
              <c:numCache>
                <c:formatCode>#,##0.00_);[Red]\(#,##0.00\)</c:formatCode>
                <c:ptCount val="7"/>
                <c:pt idx="0">
                  <c:v>1.6040000000000001</c:v>
                </c:pt>
                <c:pt idx="1">
                  <c:v>1.915</c:v>
                </c:pt>
                <c:pt idx="2">
                  <c:v>2.9020000000000001</c:v>
                </c:pt>
                <c:pt idx="3">
                  <c:v>3.698</c:v>
                </c:pt>
                <c:pt idx="4">
                  <c:v>4.6120000000000001</c:v>
                </c:pt>
                <c:pt idx="5">
                  <c:v>6.6180000000000003</c:v>
                </c:pt>
                <c:pt idx="6">
                  <c:v>8.8729999999999993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E-4C21-94E0-FE6191E7384E}"/>
            </c:ext>
          </c:extLst>
        </c:ser>
        <c:ser>
          <c:idx val="1"/>
          <c:order val="1"/>
          <c:tx>
            <c:v>Calculated</c:v>
          </c:tx>
          <c:xVal>
            <c:numRef>
              <c:f>'$ per W Calc'!$A$6:$A$12</c:f>
              <c:numCache>
                <c:formatCode>General</c:formatCode>
                <c:ptCount val="7"/>
                <c:pt idx="0">
                  <c:v>0.75</c:v>
                </c:pt>
                <c:pt idx="1">
                  <c:v>1.5</c:v>
                </c:pt>
                <c:pt idx="2">
                  <c:v>2.4</c:v>
                </c:pt>
                <c:pt idx="3">
                  <c:v>3.3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</c:numCache>
            </c:numRef>
          </c:xVal>
          <c:yVal>
            <c:numRef>
              <c:f>'$ per W Calc'!$D$6:$D$12</c:f>
              <c:numCache>
                <c:formatCode>#,##0.00_);[Red]\(#,##0.00\)</c:formatCode>
                <c:ptCount val="7"/>
                <c:pt idx="0">
                  <c:v>1.6180730435869541</c:v>
                </c:pt>
                <c:pt idx="1">
                  <c:v>2.3633379512184898</c:v>
                </c:pt>
                <c:pt idx="2">
                  <c:v>3.0738022534285627</c:v>
                </c:pt>
                <c:pt idx="3">
                  <c:v>3.6807314381499001</c:v>
                </c:pt>
                <c:pt idx="4">
                  <c:v>4.6659467427954109</c:v>
                </c:pt>
                <c:pt idx="5">
                  <c:v>6.9584598073464887</c:v>
                </c:pt>
                <c:pt idx="6">
                  <c:v>8.8066075832638493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3E-4C21-94E0-FE6191E73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44916"/>
        <c:axId val="89315837"/>
      </c:scatterChart>
      <c:valAx>
        <c:axId val="635449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89315837"/>
        <c:crosses val="autoZero"/>
        <c:crossBetween val="midCat"/>
      </c:valAx>
      <c:valAx>
        <c:axId val="8931583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#,##0.00_);[Red]\(#,##0.00\)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6354491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180975</xdr:colOff>
      <xdr:row>41</xdr:row>
      <xdr:rowOff>228600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2BD516DC-0BA0-4398-84AC-D59DB21D46D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180975</xdr:colOff>
      <xdr:row>41</xdr:row>
      <xdr:rowOff>228600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AEE1F714-22F2-44E9-89F5-9F37B725E00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180975</xdr:colOff>
      <xdr:row>41</xdr:row>
      <xdr:rowOff>228600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D7C4D6F8-3A3E-4F54-AABA-EA939C8BF45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180975</xdr:colOff>
      <xdr:row>41</xdr:row>
      <xdr:rowOff>228600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DB273F71-7C00-4253-ADA5-A8222A692E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180975</xdr:colOff>
      <xdr:row>41</xdr:row>
      <xdr:rowOff>228600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62D090B6-8927-4F9A-B3D1-392C7F9491E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180975</xdr:colOff>
      <xdr:row>41</xdr:row>
      <xdr:rowOff>228600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55C7801E-93C0-4759-BBD7-6A8CC4656B1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578610</xdr:colOff>
      <xdr:row>5</xdr:row>
      <xdr:rowOff>124050</xdr:rowOff>
    </xdr:from>
    <xdr:ext cx="8141130" cy="58483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61B501-ADA0-4BF3-A6A3-F1F0A39C4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../Muon%20Campus/SLH%20BEAMLINES/1.__Requirements_and_Specifications/Quotes/Cable/Graybar%20Quote.pdf" TargetMode="External"/><Relationship Id="rId1" Type="http://schemas.openxmlformats.org/officeDocument/2006/relationships/hyperlink" Target="../../../../../../Muon%20Campus/SLH%20BEAMLINES/1.__Requirements_and_Specifications/Quotes/Cable/Graybar%20Quote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72"/>
  <sheetViews>
    <sheetView tabSelected="1" topLeftCell="A13" zoomScale="90" zoomScaleNormal="90" workbookViewId="0">
      <selection activeCell="D20" sqref="D20"/>
    </sheetView>
  </sheetViews>
  <sheetFormatPr defaultRowHeight="12.75" x14ac:dyDescent="0.2"/>
  <cols>
    <col min="1" max="1" width="15" style="1" customWidth="1"/>
    <col min="2" max="2" width="8.5703125" style="2" customWidth="1"/>
    <col min="3" max="3" width="12" style="2" customWidth="1"/>
    <col min="4" max="4" width="43.28515625" style="2" customWidth="1"/>
    <col min="5" max="5" width="13" style="2" customWidth="1"/>
    <col min="6" max="6" width="11.42578125" style="3" customWidth="1"/>
    <col min="7" max="7" width="12.140625" style="4" customWidth="1"/>
    <col min="8" max="8" width="13.7109375" style="5" customWidth="1"/>
    <col min="9" max="9" width="3.28515625" style="5" customWidth="1"/>
    <col min="10" max="10" width="6.85546875" style="6" customWidth="1"/>
    <col min="11" max="12" width="6.7109375" style="2" customWidth="1"/>
    <col min="13" max="13" width="6.42578125" style="2" customWidth="1"/>
    <col min="14" max="14" width="7.85546875" style="5" customWidth="1"/>
    <col min="15" max="15" width="1.85546875" style="5" customWidth="1"/>
    <col min="16" max="16" width="6.7109375" style="5" customWidth="1"/>
    <col min="17" max="17" width="6.28515625" style="5" customWidth="1"/>
    <col min="18" max="18" width="10.5703125" style="5" customWidth="1"/>
    <col min="19" max="19" width="3.42578125" style="5" customWidth="1"/>
    <col min="20" max="20" width="6.7109375" style="5" customWidth="1"/>
    <col min="21" max="21" width="8.42578125" style="3" customWidth="1"/>
    <col min="22" max="22" width="7.5703125" style="3" customWidth="1"/>
    <col min="23" max="23" width="6.7109375" style="3" customWidth="1"/>
    <col min="24" max="24" width="14.140625" style="3" customWidth="1"/>
    <col min="25" max="25" width="7.85546875" style="3" customWidth="1"/>
    <col min="26" max="26" width="10.85546875" style="7" customWidth="1"/>
    <col min="27" max="27" width="3.7109375" style="7" customWidth="1"/>
    <col min="28" max="28" width="9.5703125" style="3" customWidth="1"/>
    <col min="29" max="29" width="6.85546875" style="2" customWidth="1"/>
    <col min="30" max="31" width="6.7109375" style="2" customWidth="1"/>
    <col min="32" max="32" width="9.5703125" style="3" customWidth="1"/>
    <col min="33" max="33" width="7.28515625" style="2" customWidth="1"/>
    <col min="34" max="34" width="3.7109375" style="2" customWidth="1"/>
    <col min="35" max="35" width="10.28515625" style="7" customWidth="1"/>
    <col min="36" max="36" width="8.140625" style="3" customWidth="1"/>
    <col min="37" max="37" width="8.42578125" style="3" customWidth="1"/>
    <col min="38" max="38" width="2.140625" style="2" customWidth="1"/>
    <col min="39" max="39" width="7.7109375" style="7" customWidth="1"/>
    <col min="40" max="40" width="7.7109375" style="3" customWidth="1"/>
    <col min="41" max="41" width="6.7109375" style="3" customWidth="1"/>
    <col min="42" max="42" width="7.85546875" style="3" customWidth="1"/>
    <col min="43" max="43" width="5.5703125" style="2" customWidth="1"/>
    <col min="44" max="44" width="7.5703125" style="2" customWidth="1"/>
    <col min="45" max="45" width="10.42578125" style="2" customWidth="1"/>
    <col min="46" max="46" width="4.42578125" style="2" customWidth="1"/>
    <col min="47" max="47" width="6.7109375" style="2" customWidth="1"/>
    <col min="48" max="48" width="8.5703125" style="2" customWidth="1"/>
    <col min="49" max="49" width="6.7109375" style="2" customWidth="1"/>
    <col min="50" max="50" width="7.140625" style="2" customWidth="1"/>
    <col min="51" max="51" width="13.85546875" style="161" customWidth="1"/>
    <col min="52" max="52" width="10.5703125" style="8" customWidth="1"/>
    <col min="53" max="53" width="10.7109375" style="3" customWidth="1"/>
    <col min="54" max="54" width="24.28515625" style="7" customWidth="1"/>
    <col min="55" max="55" width="10.5703125" style="8" customWidth="1"/>
    <col min="56" max="56" width="11" style="2" customWidth="1"/>
    <col min="57" max="1026" width="8.7109375" customWidth="1"/>
  </cols>
  <sheetData>
    <row r="1" spans="1:56" ht="45" customHeight="1" x14ac:dyDescent="0.2">
      <c r="A1" s="305" t="s">
        <v>155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</row>
    <row r="2" spans="1:56" s="9" customFormat="1" ht="16.149999999999999" customHeight="1" x14ac:dyDescent="0.25">
      <c r="A2" s="1"/>
      <c r="D2" s="10"/>
      <c r="E2" s="11" t="s">
        <v>0</v>
      </c>
      <c r="F2" s="12">
        <v>10000</v>
      </c>
      <c r="H2" s="13"/>
      <c r="I2" s="13"/>
      <c r="J2" s="14" t="s">
        <v>1</v>
      </c>
      <c r="K2" s="10"/>
      <c r="L2" s="10"/>
      <c r="M2" s="10"/>
      <c r="N2" s="13"/>
      <c r="O2" s="13"/>
      <c r="P2" s="13"/>
      <c r="Q2" s="13"/>
      <c r="R2" s="13"/>
      <c r="S2" s="15"/>
      <c r="T2" s="15"/>
      <c r="U2" s="16"/>
      <c r="V2" s="16"/>
      <c r="W2" s="16"/>
      <c r="X2" s="16"/>
      <c r="Y2" s="16"/>
      <c r="Z2" s="17"/>
      <c r="AA2" s="18"/>
      <c r="AB2" s="19"/>
      <c r="AC2" s="20" t="s">
        <v>2</v>
      </c>
      <c r="AD2" s="10"/>
      <c r="AE2" s="10"/>
      <c r="AF2" s="19"/>
      <c r="AG2" s="10"/>
      <c r="AH2" s="10"/>
      <c r="AI2" s="18"/>
      <c r="AJ2" s="19"/>
      <c r="AK2" s="16"/>
      <c r="AM2" s="17"/>
      <c r="AN2" s="16"/>
      <c r="AO2" s="16"/>
      <c r="AP2" s="16"/>
      <c r="AY2" s="37"/>
      <c r="AZ2" s="21"/>
      <c r="BA2" s="16"/>
      <c r="BB2" s="17"/>
      <c r="BC2" s="21"/>
    </row>
    <row r="3" spans="1:56" s="9" customFormat="1" ht="16.149999999999999" customHeight="1" x14ac:dyDescent="0.25">
      <c r="A3" s="1"/>
      <c r="E3" s="22"/>
      <c r="F3" s="23"/>
      <c r="G3" s="24"/>
      <c r="H3" s="13"/>
      <c r="I3" s="13"/>
      <c r="J3" s="14" t="s">
        <v>3</v>
      </c>
      <c r="K3" s="10" t="s">
        <v>4</v>
      </c>
      <c r="L3" s="10"/>
      <c r="M3" s="10" t="s">
        <v>3</v>
      </c>
      <c r="N3" s="13" t="s">
        <v>5</v>
      </c>
      <c r="O3" s="13"/>
      <c r="P3" s="13"/>
      <c r="Q3" s="13"/>
      <c r="R3" s="13"/>
      <c r="S3" s="15"/>
      <c r="T3" s="15"/>
      <c r="U3" s="16"/>
      <c r="V3" s="16"/>
      <c r="W3" s="16"/>
      <c r="X3" s="16"/>
      <c r="Y3" s="16"/>
      <c r="Z3" s="17"/>
      <c r="AA3" s="18"/>
      <c r="AB3" s="19"/>
      <c r="AC3" s="10"/>
      <c r="AD3" s="10"/>
      <c r="AE3" s="11" t="s">
        <v>6</v>
      </c>
      <c r="AF3" s="25">
        <v>0.1</v>
      </c>
      <c r="AG3" s="10" t="s">
        <v>7</v>
      </c>
      <c r="AH3" s="10"/>
      <c r="AI3" s="18"/>
      <c r="AJ3" s="19"/>
      <c r="AK3" s="26"/>
      <c r="AL3" s="27"/>
      <c r="AM3" s="28"/>
      <c r="AN3" s="26"/>
      <c r="AO3" s="26"/>
      <c r="AP3" s="16"/>
      <c r="AY3" s="37"/>
      <c r="AZ3" s="21"/>
      <c r="BA3" s="16"/>
      <c r="BB3" s="17"/>
      <c r="BC3" s="21"/>
    </row>
    <row r="4" spans="1:56" s="9" customFormat="1" ht="16.149999999999999" customHeight="1" x14ac:dyDescent="0.25">
      <c r="A4" s="1"/>
      <c r="C4" s="1"/>
      <c r="D4" s="27"/>
      <c r="E4" s="1"/>
      <c r="F4" s="23"/>
      <c r="G4" s="24"/>
      <c r="H4" s="13"/>
      <c r="I4" s="13"/>
      <c r="J4" s="29" t="s">
        <v>8</v>
      </c>
      <c r="K4" s="30">
        <v>7.2</v>
      </c>
      <c r="L4" s="31" t="s">
        <v>9</v>
      </c>
      <c r="M4" s="10"/>
      <c r="N4" s="285">
        <v>3.61</v>
      </c>
      <c r="O4" s="32"/>
      <c r="P4" s="13" t="s">
        <v>9</v>
      </c>
      <c r="Q4" s="13"/>
      <c r="R4" s="13"/>
      <c r="S4" s="15"/>
      <c r="T4" s="15"/>
      <c r="U4" s="16"/>
      <c r="V4" s="16"/>
      <c r="W4" s="16"/>
      <c r="X4" s="16"/>
      <c r="Y4" s="33"/>
      <c r="Z4" s="17"/>
      <c r="AA4" s="18"/>
      <c r="AB4" s="19"/>
      <c r="AC4" s="10"/>
      <c r="AD4" s="10"/>
      <c r="AE4" s="11" t="s">
        <v>10</v>
      </c>
      <c r="AF4" s="34">
        <v>0.9</v>
      </c>
      <c r="AG4" s="10" t="s">
        <v>11</v>
      </c>
      <c r="AH4" s="10"/>
      <c r="AI4" s="18"/>
      <c r="AJ4" s="19"/>
      <c r="AK4" s="16"/>
      <c r="AM4" s="17"/>
      <c r="AN4" s="16"/>
      <c r="AO4" s="16"/>
      <c r="AP4" s="16"/>
      <c r="AY4" s="37"/>
      <c r="AZ4" s="21"/>
      <c r="BA4" s="16"/>
      <c r="BB4" s="17"/>
      <c r="BC4" s="21"/>
    </row>
    <row r="5" spans="1:56" s="9" customFormat="1" ht="16.149999999999999" customHeight="1" x14ac:dyDescent="0.25">
      <c r="A5" s="1"/>
      <c r="C5" s="2"/>
      <c r="D5" s="27"/>
      <c r="E5" s="2"/>
      <c r="F5" s="23"/>
      <c r="G5" s="24"/>
      <c r="H5" s="13"/>
      <c r="I5" s="13"/>
      <c r="J5" s="29" t="s">
        <v>164</v>
      </c>
      <c r="K5" s="30">
        <v>1.4</v>
      </c>
      <c r="L5" s="31" t="s">
        <v>9</v>
      </c>
      <c r="M5" s="10"/>
      <c r="N5" s="285">
        <v>1.1200000000000001</v>
      </c>
      <c r="O5" s="32"/>
      <c r="P5" s="10" t="s">
        <v>9</v>
      </c>
      <c r="Q5" s="10"/>
      <c r="R5" s="13"/>
      <c r="S5" s="15"/>
      <c r="T5" s="15"/>
      <c r="U5" s="16"/>
      <c r="V5" s="33"/>
      <c r="W5" s="16"/>
      <c r="X5" s="286"/>
      <c r="Y5" s="286"/>
      <c r="Z5" s="287"/>
      <c r="AA5" s="18"/>
      <c r="AB5" s="19"/>
      <c r="AC5" s="10"/>
      <c r="AD5" s="10"/>
      <c r="AE5" s="11" t="s">
        <v>10</v>
      </c>
      <c r="AF5" s="19" t="s">
        <v>12</v>
      </c>
      <c r="AG5" s="10"/>
      <c r="AH5" s="10"/>
      <c r="AI5" s="18"/>
      <c r="AJ5" s="19"/>
      <c r="AK5" s="16"/>
      <c r="AM5" s="17"/>
      <c r="AN5" s="16"/>
      <c r="AO5" s="16"/>
      <c r="AP5" s="16"/>
      <c r="AY5" s="37"/>
      <c r="AZ5" s="21"/>
      <c r="BA5" s="16"/>
      <c r="BB5" s="17"/>
      <c r="BC5" s="21"/>
    </row>
    <row r="6" spans="1:56" s="9" customFormat="1" ht="16.149999999999999" customHeight="1" x14ac:dyDescent="0.25">
      <c r="A6" s="1"/>
      <c r="C6" s="1"/>
      <c r="D6" s="264"/>
      <c r="E6" s="2"/>
      <c r="F6" s="3"/>
      <c r="G6" s="35"/>
      <c r="H6" s="13"/>
      <c r="I6" s="13"/>
      <c r="J6" s="14"/>
      <c r="K6" s="32"/>
      <c r="L6" s="11"/>
      <c r="M6" s="10"/>
      <c r="N6" s="32"/>
      <c r="O6" s="32"/>
      <c r="P6" s="36"/>
      <c r="Q6" s="10"/>
      <c r="R6" s="13"/>
      <c r="S6" s="15"/>
      <c r="T6" s="15"/>
      <c r="U6" s="16"/>
      <c r="V6" s="16"/>
      <c r="W6" s="16"/>
      <c r="X6" s="286"/>
      <c r="Y6" s="286"/>
      <c r="Z6" s="288"/>
      <c r="AA6" s="18"/>
      <c r="AB6" s="19"/>
      <c r="AC6" s="10"/>
      <c r="AD6" s="10"/>
      <c r="AE6" s="11" t="s">
        <v>13</v>
      </c>
      <c r="AF6" s="34" t="s">
        <v>170</v>
      </c>
      <c r="AG6" s="10" t="s">
        <v>14</v>
      </c>
      <c r="AH6" s="10"/>
      <c r="AI6" s="18"/>
      <c r="AJ6" s="19"/>
      <c r="AK6" s="16"/>
      <c r="AM6" s="17"/>
      <c r="AN6" s="16"/>
      <c r="AO6" s="16"/>
      <c r="AP6" s="16"/>
      <c r="AY6" s="37"/>
      <c r="AZ6" s="21"/>
      <c r="BA6" s="16"/>
      <c r="BB6" s="17"/>
      <c r="BC6" s="21"/>
    </row>
    <row r="7" spans="1:56" s="9" customFormat="1" ht="16.149999999999999" customHeight="1" x14ac:dyDescent="0.25">
      <c r="A7" s="1"/>
      <c r="C7" s="1"/>
      <c r="D7" s="264"/>
      <c r="E7" s="2"/>
      <c r="F7" s="3"/>
      <c r="G7" s="35"/>
      <c r="H7" s="13"/>
      <c r="I7" s="13"/>
      <c r="J7" s="14"/>
      <c r="K7" s="32"/>
      <c r="L7" s="11"/>
      <c r="M7" s="10"/>
      <c r="N7" s="32"/>
      <c r="O7" s="32"/>
      <c r="P7" s="36"/>
      <c r="Q7" s="10"/>
      <c r="R7" s="13"/>
      <c r="S7" s="15"/>
      <c r="T7" s="15"/>
      <c r="U7" s="16"/>
      <c r="V7" s="16"/>
      <c r="W7" s="16"/>
      <c r="X7" s="286"/>
      <c r="Y7" s="286"/>
      <c r="Z7" s="288"/>
      <c r="AA7" s="18"/>
      <c r="AB7" s="19"/>
      <c r="AC7" s="10"/>
      <c r="AD7" s="10"/>
      <c r="AE7" s="11" t="s">
        <v>15</v>
      </c>
      <c r="AF7" s="34">
        <f>AVERAGE(P66:P67)</f>
        <v>0.64</v>
      </c>
      <c r="AG7" s="10" t="s">
        <v>14</v>
      </c>
      <c r="AH7" s="10"/>
      <c r="AI7" s="18"/>
      <c r="AJ7" s="19"/>
      <c r="AK7" s="16"/>
      <c r="AM7" s="17"/>
      <c r="AN7" s="16"/>
      <c r="AO7" s="16"/>
      <c r="AP7" s="16"/>
      <c r="AY7" s="37"/>
      <c r="AZ7" s="21"/>
      <c r="BA7" s="16"/>
      <c r="BB7" s="17"/>
      <c r="BC7" s="21"/>
    </row>
    <row r="8" spans="1:56" s="9" customFormat="1" ht="16.149999999999999" customHeight="1" x14ac:dyDescent="0.25">
      <c r="A8" s="1"/>
      <c r="C8" s="1"/>
      <c r="D8" s="37"/>
      <c r="E8" s="38"/>
      <c r="F8" s="3"/>
      <c r="G8" s="35"/>
      <c r="H8" s="13"/>
      <c r="I8" s="13"/>
      <c r="J8" s="13"/>
      <c r="K8" s="13"/>
      <c r="L8" s="11"/>
      <c r="M8" s="10"/>
      <c r="N8" s="32"/>
      <c r="O8" s="32"/>
      <c r="P8" s="36"/>
      <c r="Q8" s="10"/>
      <c r="R8" s="13"/>
      <c r="S8" s="15"/>
      <c r="T8" s="15"/>
      <c r="U8" s="16"/>
      <c r="V8" s="16"/>
      <c r="W8" s="16"/>
      <c r="X8" s="286"/>
      <c r="Y8" s="286"/>
      <c r="Z8" s="288"/>
      <c r="AA8" s="17"/>
      <c r="AB8" s="16"/>
      <c r="AF8" s="16"/>
      <c r="AI8" s="17"/>
      <c r="AJ8" s="16"/>
      <c r="AK8" s="16"/>
      <c r="AM8" s="17"/>
      <c r="AN8" s="16"/>
      <c r="AO8" s="16"/>
      <c r="AP8" s="16"/>
      <c r="AY8" s="37"/>
      <c r="AZ8" s="21"/>
      <c r="BA8" s="16"/>
      <c r="BB8" s="17"/>
      <c r="BC8" s="21"/>
    </row>
    <row r="9" spans="1:56" s="9" customFormat="1" ht="16.149999999999999" customHeight="1" x14ac:dyDescent="0.25">
      <c r="A9" s="1"/>
      <c r="C9" s="1"/>
      <c r="D9" s="27"/>
      <c r="E9" s="2"/>
      <c r="F9" s="3"/>
      <c r="G9" s="35"/>
      <c r="H9" s="13"/>
      <c r="I9" s="13"/>
      <c r="J9" s="13"/>
      <c r="K9" s="13"/>
      <c r="L9" s="11"/>
      <c r="M9" s="10"/>
      <c r="N9" s="32"/>
      <c r="O9" s="32"/>
      <c r="P9" s="36"/>
      <c r="Q9" s="10"/>
      <c r="R9" s="13"/>
      <c r="S9" s="15"/>
      <c r="T9" s="15"/>
      <c r="U9" s="16"/>
      <c r="V9" s="16"/>
      <c r="W9" s="16"/>
      <c r="X9" s="16"/>
      <c r="Y9" s="16"/>
      <c r="Z9" s="17"/>
      <c r="AA9" s="17"/>
      <c r="AB9" s="16"/>
      <c r="AF9" s="16"/>
      <c r="AI9" s="17"/>
      <c r="AJ9" s="16"/>
      <c r="AK9" s="16"/>
      <c r="AM9" s="17"/>
      <c r="AN9" s="16"/>
      <c r="AO9" s="16"/>
      <c r="AP9" s="16"/>
      <c r="AW9" s="39"/>
      <c r="AX9" s="40"/>
      <c r="AY9" s="40"/>
      <c r="AZ9" s="21"/>
      <c r="BA9" s="16"/>
      <c r="BB9" s="17"/>
      <c r="BC9" s="21"/>
    </row>
    <row r="10" spans="1:56" s="9" customFormat="1" ht="16.149999999999999" customHeight="1" x14ac:dyDescent="0.25">
      <c r="A10" s="1"/>
      <c r="C10" s="2"/>
      <c r="D10" s="264"/>
      <c r="E10" s="2"/>
      <c r="F10" s="3"/>
      <c r="G10" s="35"/>
      <c r="H10" s="13"/>
      <c r="I10" s="13"/>
      <c r="J10" s="13"/>
      <c r="K10" s="13"/>
      <c r="L10" s="11"/>
      <c r="M10" s="10"/>
      <c r="N10" s="32"/>
      <c r="O10" s="32"/>
      <c r="P10" s="36"/>
      <c r="Q10" s="10"/>
      <c r="R10" s="13"/>
      <c r="S10" s="15"/>
      <c r="T10" s="15"/>
      <c r="U10" s="16"/>
      <c r="V10" s="16"/>
      <c r="W10" s="16"/>
      <c r="X10" s="16"/>
      <c r="Y10" s="16"/>
      <c r="Z10" s="17"/>
      <c r="AA10" s="17"/>
      <c r="AF10" s="16"/>
      <c r="AI10" s="17"/>
      <c r="AJ10" s="16"/>
      <c r="AK10" s="16"/>
      <c r="AM10" s="17"/>
      <c r="AN10" s="16"/>
      <c r="AO10" s="16"/>
      <c r="AP10" s="16"/>
      <c r="AW10" s="39"/>
      <c r="AX10" s="40"/>
      <c r="AY10" s="40"/>
      <c r="AZ10" s="21"/>
      <c r="BA10" s="16"/>
      <c r="BB10" s="17"/>
      <c r="BC10" s="21"/>
    </row>
    <row r="11" spans="1:56" s="9" customFormat="1" ht="16.149999999999999" customHeight="1" x14ac:dyDescent="0.25">
      <c r="A11" s="1"/>
      <c r="B11" s="41"/>
      <c r="C11" s="42"/>
      <c r="D11" s="264"/>
      <c r="E11" s="2"/>
      <c r="F11" s="3"/>
      <c r="G11" s="35"/>
      <c r="H11" s="43"/>
      <c r="I11" s="43"/>
      <c r="J11" s="44"/>
      <c r="K11" s="45"/>
      <c r="L11" s="22"/>
      <c r="M11" s="46"/>
      <c r="N11" s="45"/>
      <c r="O11" s="45"/>
      <c r="P11" s="46"/>
      <c r="Q11" s="46"/>
      <c r="R11" s="43"/>
      <c r="S11" s="15"/>
      <c r="T11" s="15"/>
      <c r="U11" s="16"/>
      <c r="V11" s="16"/>
      <c r="W11" s="16"/>
      <c r="X11" s="16"/>
      <c r="Y11" s="16"/>
      <c r="Z11" s="17"/>
      <c r="AA11" s="17"/>
      <c r="AB11" s="47"/>
      <c r="AF11" s="16"/>
      <c r="AI11" s="17"/>
      <c r="AJ11" s="16"/>
      <c r="AK11" s="16"/>
      <c r="AM11" s="17"/>
      <c r="AN11" s="16"/>
      <c r="AO11" s="16"/>
      <c r="AP11" s="16"/>
      <c r="AY11" s="37"/>
      <c r="AZ11" s="21"/>
      <c r="BA11" s="16"/>
      <c r="BB11" s="17"/>
      <c r="BC11" s="21"/>
    </row>
    <row r="12" spans="1:56" s="9" customFormat="1" ht="16.149999999999999" customHeight="1" thickBot="1" x14ac:dyDescent="0.25">
      <c r="A12" s="48"/>
      <c r="F12" s="3"/>
      <c r="G12" s="35"/>
      <c r="H12" s="15"/>
      <c r="I12" s="15"/>
      <c r="J12" s="49"/>
      <c r="K12" s="50"/>
      <c r="L12" s="27"/>
      <c r="N12" s="50"/>
      <c r="O12" s="50"/>
      <c r="P12" s="27"/>
      <c r="Q12" s="27"/>
      <c r="R12" s="15"/>
      <c r="S12" s="15"/>
      <c r="T12" s="15"/>
      <c r="U12" s="16"/>
      <c r="V12" s="16"/>
      <c r="W12" s="16"/>
      <c r="X12" s="16"/>
      <c r="Y12" s="16"/>
      <c r="Z12" s="17"/>
      <c r="AA12" s="17"/>
      <c r="AB12" s="16"/>
      <c r="AF12" s="16"/>
      <c r="AI12" s="17"/>
      <c r="AJ12" s="16"/>
      <c r="AK12" s="16"/>
      <c r="AM12" s="17"/>
      <c r="AN12" s="16"/>
      <c r="AO12" s="16"/>
      <c r="AP12" s="16"/>
      <c r="AY12" s="37"/>
      <c r="AZ12" s="21"/>
      <c r="BA12" s="16"/>
      <c r="BB12" s="17"/>
      <c r="BC12" s="21"/>
    </row>
    <row r="13" spans="1:56" s="9" customFormat="1" ht="16.149999999999999" customHeight="1" thickTop="1" x14ac:dyDescent="0.25">
      <c r="A13" s="51"/>
      <c r="C13" s="306" t="s">
        <v>16</v>
      </c>
      <c r="D13" s="306"/>
      <c r="E13" s="306"/>
      <c r="F13" s="306"/>
      <c r="G13" s="306"/>
      <c r="H13" s="306"/>
      <c r="I13" s="15"/>
      <c r="J13" s="307" t="s">
        <v>17</v>
      </c>
      <c r="K13" s="307"/>
      <c r="L13" s="307"/>
      <c r="M13" s="307"/>
      <c r="N13" s="307"/>
      <c r="O13" s="307"/>
      <c r="P13" s="307"/>
      <c r="Q13" s="307"/>
      <c r="R13" s="307"/>
      <c r="S13" s="15"/>
      <c r="T13" s="308" t="s">
        <v>18</v>
      </c>
      <c r="U13" s="308"/>
      <c r="V13" s="308"/>
      <c r="W13" s="308"/>
      <c r="X13" s="308"/>
      <c r="Y13" s="308"/>
      <c r="Z13" s="308"/>
      <c r="AA13" s="17"/>
      <c r="AB13" s="52"/>
      <c r="AC13" s="53"/>
      <c r="AD13" s="53"/>
      <c r="AE13" s="53"/>
      <c r="AF13" s="54"/>
      <c r="AG13" s="53"/>
      <c r="AH13" s="53"/>
      <c r="AI13" s="52" t="s">
        <v>19</v>
      </c>
      <c r="AJ13" s="54"/>
      <c r="AK13" s="54"/>
      <c r="AL13" s="53"/>
      <c r="AM13" s="55"/>
      <c r="AN13" s="54"/>
      <c r="AO13" s="54"/>
      <c r="AP13" s="54"/>
      <c r="AQ13" s="56"/>
      <c r="AR13" s="57"/>
      <c r="AS13" s="309" t="s">
        <v>20</v>
      </c>
      <c r="AT13" s="309"/>
      <c r="AU13" s="309"/>
      <c r="AV13" s="309"/>
      <c r="AW13" s="309"/>
      <c r="AX13" s="309"/>
      <c r="AY13" s="284"/>
      <c r="AZ13" s="21"/>
      <c r="BA13" s="310" t="s">
        <v>21</v>
      </c>
      <c r="BB13" s="310"/>
      <c r="BC13" s="310"/>
    </row>
    <row r="14" spans="1:56" s="86" customFormat="1" ht="44.25" customHeight="1" x14ac:dyDescent="0.2">
      <c r="A14" s="58" t="s">
        <v>22</v>
      </c>
      <c r="B14" s="59" t="s">
        <v>23</v>
      </c>
      <c r="C14" s="60" t="s">
        <v>24</v>
      </c>
      <c r="D14" s="61" t="s">
        <v>25</v>
      </c>
      <c r="E14" s="57" t="s">
        <v>24</v>
      </c>
      <c r="F14" s="62" t="s">
        <v>26</v>
      </c>
      <c r="G14" s="63" t="s">
        <v>27</v>
      </c>
      <c r="H14" s="64" t="s">
        <v>27</v>
      </c>
      <c r="I14" s="65"/>
      <c r="J14" s="66" t="s">
        <v>28</v>
      </c>
      <c r="K14" s="67" t="s">
        <v>154</v>
      </c>
      <c r="L14" s="57" t="s">
        <v>29</v>
      </c>
      <c r="M14" s="67" t="s">
        <v>30</v>
      </c>
      <c r="N14" s="68" t="s">
        <v>31</v>
      </c>
      <c r="O14" s="68"/>
      <c r="P14" s="69" t="s">
        <v>32</v>
      </c>
      <c r="Q14" s="69"/>
      <c r="R14" s="70" t="s">
        <v>3</v>
      </c>
      <c r="S14" s="71"/>
      <c r="T14" s="72" t="s">
        <v>33</v>
      </c>
      <c r="U14" s="73" t="s">
        <v>34</v>
      </c>
      <c r="V14" s="73" t="s">
        <v>35</v>
      </c>
      <c r="W14" s="62" t="s">
        <v>36</v>
      </c>
      <c r="X14" s="74" t="s">
        <v>37</v>
      </c>
      <c r="Y14" s="74" t="s">
        <v>38</v>
      </c>
      <c r="Z14" s="75" t="s">
        <v>39</v>
      </c>
      <c r="AA14" s="76"/>
      <c r="AB14" s="77" t="s">
        <v>40</v>
      </c>
      <c r="AC14" s="78" t="s">
        <v>41</v>
      </c>
      <c r="AD14" s="78" t="s">
        <v>42</v>
      </c>
      <c r="AE14" s="78" t="s">
        <v>43</v>
      </c>
      <c r="AF14" s="73" t="s">
        <v>44</v>
      </c>
      <c r="AG14" s="57" t="s">
        <v>45</v>
      </c>
      <c r="AH14" s="57"/>
      <c r="AI14" s="315" t="s">
        <v>46</v>
      </c>
      <c r="AJ14" s="315"/>
      <c r="AK14" s="315"/>
      <c r="AL14" s="41"/>
      <c r="AM14" s="315" t="s">
        <v>47</v>
      </c>
      <c r="AN14" s="315"/>
      <c r="AO14" s="315"/>
      <c r="AP14" s="315"/>
      <c r="AQ14" s="80"/>
      <c r="AR14" s="41"/>
      <c r="AS14" s="81" t="s">
        <v>48</v>
      </c>
      <c r="AT14" s="41"/>
      <c r="AU14" s="316" t="s">
        <v>49</v>
      </c>
      <c r="AV14" s="316"/>
      <c r="AW14" s="316"/>
      <c r="AX14" s="80"/>
      <c r="AY14" s="41"/>
      <c r="AZ14" s="21"/>
      <c r="BA14" s="82" t="s">
        <v>50</v>
      </c>
      <c r="BB14" s="83" t="s">
        <v>51</v>
      </c>
      <c r="BC14" s="84" t="s">
        <v>52</v>
      </c>
      <c r="BD14" s="85"/>
    </row>
    <row r="15" spans="1:56" s="86" customFormat="1" ht="36.75" customHeight="1" x14ac:dyDescent="0.2">
      <c r="A15" s="58" t="s">
        <v>53</v>
      </c>
      <c r="B15" s="87" t="s">
        <v>54</v>
      </c>
      <c r="C15" s="60" t="s">
        <v>55</v>
      </c>
      <c r="D15" s="78" t="s">
        <v>56</v>
      </c>
      <c r="E15" s="61" t="s">
        <v>57</v>
      </c>
      <c r="F15" s="62" t="s">
        <v>58</v>
      </c>
      <c r="G15" s="63" t="s">
        <v>59</v>
      </c>
      <c r="H15" s="64" t="s">
        <v>60</v>
      </c>
      <c r="I15" s="65"/>
      <c r="J15" s="88"/>
      <c r="K15" s="57"/>
      <c r="L15" s="57" t="s">
        <v>61</v>
      </c>
      <c r="M15" s="57" t="s">
        <v>62</v>
      </c>
      <c r="N15" s="89" t="s">
        <v>61</v>
      </c>
      <c r="O15" s="89"/>
      <c r="P15" s="69" t="s">
        <v>63</v>
      </c>
      <c r="Q15" s="69" t="s">
        <v>64</v>
      </c>
      <c r="R15" s="70" t="s">
        <v>65</v>
      </c>
      <c r="S15" s="65"/>
      <c r="T15" s="90" t="s">
        <v>61</v>
      </c>
      <c r="U15" s="62" t="s">
        <v>66</v>
      </c>
      <c r="V15" s="62" t="s">
        <v>66</v>
      </c>
      <c r="W15" s="62" t="s">
        <v>67</v>
      </c>
      <c r="X15" s="91" t="s">
        <v>68</v>
      </c>
      <c r="Y15" s="91" t="s">
        <v>66</v>
      </c>
      <c r="Z15" s="92" t="s">
        <v>69</v>
      </c>
      <c r="AA15" s="93"/>
      <c r="AB15" s="94"/>
      <c r="AC15" s="78" t="s">
        <v>70</v>
      </c>
      <c r="AD15" s="57" t="s">
        <v>68</v>
      </c>
      <c r="AE15" s="57" t="s">
        <v>66</v>
      </c>
      <c r="AF15" s="62" t="s">
        <v>69</v>
      </c>
      <c r="AG15" s="57" t="s">
        <v>69</v>
      </c>
      <c r="AH15" s="61" t="s">
        <v>26</v>
      </c>
      <c r="AI15" s="295" t="s">
        <v>63</v>
      </c>
      <c r="AJ15" s="73" t="s">
        <v>71</v>
      </c>
      <c r="AK15" s="73" t="s">
        <v>72</v>
      </c>
      <c r="AL15" s="78"/>
      <c r="AM15" s="95" t="s">
        <v>63</v>
      </c>
      <c r="AN15" s="73" t="s">
        <v>71</v>
      </c>
      <c r="AO15" s="73" t="s">
        <v>72</v>
      </c>
      <c r="AP15" s="73" t="s">
        <v>73</v>
      </c>
      <c r="AQ15" s="96"/>
      <c r="AR15" s="78"/>
      <c r="AS15" s="97" t="s">
        <v>63</v>
      </c>
      <c r="AT15" s="78"/>
      <c r="AU15" s="95" t="s">
        <v>63</v>
      </c>
      <c r="AV15" s="73" t="s">
        <v>71</v>
      </c>
      <c r="AW15" s="73" t="s">
        <v>72</v>
      </c>
      <c r="AX15" s="98"/>
      <c r="AY15" s="99" t="s">
        <v>162</v>
      </c>
      <c r="AZ15" s="99" t="s">
        <v>163</v>
      </c>
      <c r="BA15" s="100" t="s">
        <v>69</v>
      </c>
      <c r="BB15" s="83" t="s">
        <v>51</v>
      </c>
      <c r="BC15" s="84" t="s">
        <v>74</v>
      </c>
      <c r="BD15" s="85"/>
    </row>
    <row r="16" spans="1:56" s="86" customFormat="1" ht="15.95" customHeight="1" x14ac:dyDescent="0.2">
      <c r="A16" s="101" t="s">
        <v>179</v>
      </c>
      <c r="B16" s="85">
        <v>1</v>
      </c>
      <c r="C16" s="261"/>
      <c r="D16" s="78" t="s">
        <v>190</v>
      </c>
      <c r="E16" s="61"/>
      <c r="F16" s="62">
        <v>1</v>
      </c>
      <c r="G16" s="262">
        <v>4.5399999999999998E-3</v>
      </c>
      <c r="H16" s="102">
        <v>2.5999999999999999E-2</v>
      </c>
      <c r="I16" s="65"/>
      <c r="J16" s="304">
        <v>500</v>
      </c>
      <c r="K16" s="57">
        <v>2</v>
      </c>
      <c r="L16" s="89">
        <f>IF(J16=500, 0.026, 0.122)</f>
        <v>2.5999999999999999E-2</v>
      </c>
      <c r="M16" s="57">
        <v>335</v>
      </c>
      <c r="N16" s="89">
        <f>2*M16*(L16/K16)/1000</f>
        <v>8.709999999999999E-3</v>
      </c>
      <c r="O16" s="89"/>
      <c r="P16" s="103">
        <f>IF(J16=500, (2 * K16 * M16 * $K$4/1000), (2 * K16 * M16 * $K$5/1000))</f>
        <v>9.6479999999999997</v>
      </c>
      <c r="Q16" s="103">
        <f>IF(J16=500, (2 * K16 * M16 * $N$4/1000), (2 * K16 * M16 * $N$5/1000))</f>
        <v>4.8373999999999997</v>
      </c>
      <c r="R16" s="104">
        <f>P16 + Q16</f>
        <v>14.485399999999998</v>
      </c>
      <c r="S16" s="65"/>
      <c r="T16" s="90">
        <f t="shared" ref="T16:T21" si="0">(F16*H16+N16)</f>
        <v>3.4709999999999998E-2</v>
      </c>
      <c r="U16" s="62">
        <v>500</v>
      </c>
      <c r="V16" s="62">
        <v>500</v>
      </c>
      <c r="W16" s="62">
        <v>0</v>
      </c>
      <c r="X16" s="91">
        <f>T16*U16+F16*W16*G16</f>
        <v>17.355</v>
      </c>
      <c r="Y16" s="91">
        <f t="shared" ref="Y16" si="1">SQRT(V16^2 + V16*(U16-V16) + (1/3)*(U16-V16)^2)</f>
        <v>500</v>
      </c>
      <c r="Z16" s="260">
        <f t="shared" ref="Z16" si="2">U16*X16/1000</f>
        <v>8.6775000000000002</v>
      </c>
      <c r="AA16" s="93"/>
      <c r="AB16" s="105" t="s">
        <v>186</v>
      </c>
      <c r="AC16" s="78" t="s">
        <v>75</v>
      </c>
      <c r="AD16" s="57">
        <v>30</v>
      </c>
      <c r="AE16" s="57">
        <v>668</v>
      </c>
      <c r="AF16" s="83">
        <f>(AD16*AE16)/1000</f>
        <v>20.04</v>
      </c>
      <c r="AG16" s="106">
        <f t="shared" ref="AG16" si="3">$AF$3*(AD16*Y16)/1000</f>
        <v>1.5</v>
      </c>
      <c r="AH16" s="57">
        <f t="shared" ref="AH16" si="4">B16</f>
        <v>1</v>
      </c>
      <c r="AI16" s="296">
        <f>AH16*IF(   AC16 = "SM", (     ((1.7408*$AF16^0.5923)+0.15)   +  ( $AE$63   +    $W$56)),       IF(AC16 ="SCR",   ( AF16*$AF$7 + $L$71),     IF(AC16="4QSM", (   (AF16/$F$55)*$E$55 +0.6 +  (AF16/$F$56) * $E$56),    "????")  )    )</f>
        <v>16.676918109487264</v>
      </c>
      <c r="AJ16" s="297">
        <f t="shared" ref="AJ16" si="5">IF(   AC16="SM",    SQRT(AH16)* (  SUM($V$64:$V$65)  +  SUM($AF$66:$AF$67)   ) * 40,          IF(AC16="SCR",  SQRT(AH16)*($V$65+$AF$67)*40,          IF(AC16="4QSM", (  AH16* $E$59  + ROUNDUP( (AH16*X16*Y16/(1000*$F$56)),0) * $E$60), "?????")       )       )</f>
        <v>148</v>
      </c>
      <c r="AK16" s="107">
        <f t="shared" ref="AK16" si="6">IF(   AC16="SM",    SQRT(AH16)* (  SUM($W$64:$W$65)  +  SUM($AG$66:$AG$67)   ) * 40,          IF(AC16="SCR",  SQRT(AH16)*($W$65+$AG$67)*40,          IF(AC16="4QSM", (  AH16* $E$62  + ROUNDUP( (AH16*X16*Y16/(1000*$F$56)),0) * $E$63), "?????")       )       )</f>
        <v>28.000000000000004</v>
      </c>
      <c r="AL16" s="78"/>
      <c r="AM16" s="79">
        <f>AH16</f>
        <v>1</v>
      </c>
      <c r="AN16" s="107">
        <f>(AH16)* $AF$68 *40</f>
        <v>8</v>
      </c>
      <c r="AO16" s="107">
        <f>(AH16)*$AG$68 * 40</f>
        <v>6</v>
      </c>
      <c r="AP16" s="107">
        <f>(AH16)* $W$58</f>
        <v>15</v>
      </c>
      <c r="AQ16" s="96"/>
      <c r="AR16" s="78"/>
      <c r="AS16" s="108">
        <f>AH16 * ($AP$63 - $AE$63)</f>
        <v>1.5499999999999989</v>
      </c>
      <c r="AT16" s="78"/>
      <c r="AU16" s="79"/>
      <c r="AV16" s="78"/>
      <c r="AW16" s="78"/>
      <c r="AX16" s="96"/>
      <c r="AY16" s="283">
        <f>X16/AD16*100</f>
        <v>57.85</v>
      </c>
      <c r="AZ16" s="283">
        <f t="shared" ref="AZ16:AZ21" si="7">Y16/AE16*100</f>
        <v>74.850299401197603</v>
      </c>
      <c r="BA16" s="100">
        <f t="shared" ref="BA16:BA26" si="8">T16*Y16^2/1000+AG16</f>
        <v>10.1775</v>
      </c>
      <c r="BB16" s="83">
        <f t="shared" ref="BB16:BB26" si="9">IF(    AC16="SM", BA16/$AF$4,     IF(    AC16="4QSM", BA16/$AF$4,    BA16/(X16/AD16)   )         )</f>
        <v>11.308333333333334</v>
      </c>
      <c r="BC16" s="110">
        <f t="shared" ref="BC16" si="10">(BB16*1000)/(480*1.73)</f>
        <v>13.617935131663456</v>
      </c>
      <c r="BD16" s="85"/>
    </row>
    <row r="17" spans="1:56" s="86" customFormat="1" ht="15.95" customHeight="1" x14ac:dyDescent="0.2">
      <c r="A17" s="101" t="s">
        <v>180</v>
      </c>
      <c r="B17" s="85">
        <v>1</v>
      </c>
      <c r="C17" s="261"/>
      <c r="D17" s="78" t="s">
        <v>190</v>
      </c>
      <c r="E17" s="61"/>
      <c r="F17" s="62">
        <v>1</v>
      </c>
      <c r="G17" s="262">
        <v>4.5399999999999998E-3</v>
      </c>
      <c r="H17" s="102">
        <v>2.5999999999999999E-2</v>
      </c>
      <c r="I17" s="65"/>
      <c r="J17" s="304">
        <v>500</v>
      </c>
      <c r="K17" s="57">
        <v>2</v>
      </c>
      <c r="L17" s="89">
        <f t="shared" ref="L17:L21" si="11">IF(J17=500, 0.026, 0.122)</f>
        <v>2.5999999999999999E-2</v>
      </c>
      <c r="M17" s="57">
        <v>354</v>
      </c>
      <c r="N17" s="89">
        <f t="shared" ref="N17:N21" si="12">2*M17*(L17/K17)/1000</f>
        <v>9.2039999999999986E-3</v>
      </c>
      <c r="O17" s="89"/>
      <c r="P17" s="103">
        <f t="shared" ref="P17:P21" si="13">IF(J17=500, (2 * K17 * M17 * $K$4/1000), (2 * K17 * M17 * $K$5/1000))</f>
        <v>10.195200000000002</v>
      </c>
      <c r="Q17" s="103">
        <f t="shared" ref="Q17:Q21" si="14">IF(J17=500, (2 * K17 * M17 * $N$4/1000), (2 * K17 * M17 * $N$5/1000))</f>
        <v>5.1117600000000003</v>
      </c>
      <c r="R17" s="104">
        <f t="shared" ref="R17:R21" si="15">P17 + Q17</f>
        <v>15.306960000000002</v>
      </c>
      <c r="S17" s="65"/>
      <c r="T17" s="90">
        <f t="shared" si="0"/>
        <v>3.5203999999999999E-2</v>
      </c>
      <c r="U17" s="62">
        <v>500</v>
      </c>
      <c r="V17" s="62">
        <v>500</v>
      </c>
      <c r="W17" s="62">
        <v>0</v>
      </c>
      <c r="X17" s="91">
        <f t="shared" ref="X17:X21" si="16">T17*U17+F17*W17*G17</f>
        <v>17.602</v>
      </c>
      <c r="Y17" s="91">
        <f t="shared" ref="Y17:Y21" si="17">SQRT(V17^2 + V17*(U17-V17) + (1/3)*(U17-V17)^2)</f>
        <v>500</v>
      </c>
      <c r="Z17" s="260">
        <f t="shared" ref="Z17:Z21" si="18">U17*X17/1000</f>
        <v>8.8010000000000002</v>
      </c>
      <c r="AA17" s="93"/>
      <c r="AB17" s="105" t="s">
        <v>188</v>
      </c>
      <c r="AC17" s="78" t="s">
        <v>75</v>
      </c>
      <c r="AD17" s="57">
        <v>30</v>
      </c>
      <c r="AE17" s="57">
        <v>668</v>
      </c>
      <c r="AF17" s="83">
        <f t="shared" ref="AF17:AF22" si="19">(AD17*AE17)/1000</f>
        <v>20.04</v>
      </c>
      <c r="AG17" s="106">
        <f t="shared" ref="AG17:AG21" si="20">$AF$3*(AD17*Y17)/1000</f>
        <v>1.5</v>
      </c>
      <c r="AH17" s="57">
        <f t="shared" ref="AH17:AH21" si="21">B17</f>
        <v>1</v>
      </c>
      <c r="AI17" s="296">
        <f t="shared" ref="AI17:AI22" si="22">AH17*IF(   AC17 = "SM", (     ((1.7408*$AF17^0.5923)+0.15)   +  ( $AE$63   +    $W$56)),       IF(AC17 ="SCR",   ( AF17*$AF$7 + $L$71),     IF(AC17="4QSM", (   (AF17/$F$55)*$E$55 +0.6 +  (AF17/$F$56) * $E$56),    "????")  )    )</f>
        <v>16.676918109487264</v>
      </c>
      <c r="AJ17" s="297">
        <f t="shared" ref="AJ17:AJ21" si="23">IF(   AC17="SM",    SQRT(AH17)* (  SUM($V$64:$V$65)  +  SUM($AF$66:$AF$67)   ) * 40,          IF(AC17="SCR",  SQRT(AH17)*($V$65+$AF$67)*40,          IF(AC17="4QSM", (  AH17* $E$59  + ROUNDUP( (AH17*X17*Y17/(1000*$F$56)),0) * $E$60), "?????")       )       )</f>
        <v>148</v>
      </c>
      <c r="AK17" s="107">
        <f t="shared" ref="AK17:AK21" si="24">IF(   AC17="SM",    SQRT(AH17)* (  SUM($W$64:$W$65)  +  SUM($AG$66:$AG$67)   ) * 40,          IF(AC17="SCR",  SQRT(AH17)*($W$65+$AG$67)*40,          IF(AC17="4QSM", (  AH17* $E$62  + ROUNDUP( (AH17*X17*Y17/(1000*$F$56)),0) * $E$63), "?????")       )       )</f>
        <v>28.000000000000004</v>
      </c>
      <c r="AL17" s="78"/>
      <c r="AM17" s="266">
        <f t="shared" ref="AM17:AM22" si="25">AH17</f>
        <v>1</v>
      </c>
      <c r="AN17" s="107">
        <f t="shared" ref="AN17:AN22" si="26">(AH17)* $AF$68 *40</f>
        <v>8</v>
      </c>
      <c r="AO17" s="107">
        <f t="shared" ref="AO17:AO22" si="27">(AH17)*$AG$68 * 40</f>
        <v>6</v>
      </c>
      <c r="AP17" s="107">
        <f t="shared" ref="AP17:AP22" si="28">(AH17)* $W$58</f>
        <v>15</v>
      </c>
      <c r="AQ17" s="96"/>
      <c r="AR17" s="78"/>
      <c r="AS17" s="108">
        <f t="shared" ref="AS17:AS21" si="29">AH17 * ($AP$63 - $AE$63)</f>
        <v>1.5499999999999989</v>
      </c>
      <c r="AT17" s="78"/>
      <c r="AU17" s="79"/>
      <c r="AV17" s="78"/>
      <c r="AW17" s="78"/>
      <c r="AX17" s="96"/>
      <c r="AY17" s="283">
        <f t="shared" ref="AY17:AY22" si="30">X17/AD17*100</f>
        <v>58.673333333333332</v>
      </c>
      <c r="AZ17" s="283">
        <f t="shared" si="7"/>
        <v>74.850299401197603</v>
      </c>
      <c r="BA17" s="100">
        <f t="shared" si="8"/>
        <v>10.301</v>
      </c>
      <c r="BB17" s="83">
        <f t="shared" si="9"/>
        <v>11.445555555555556</v>
      </c>
      <c r="BC17" s="110">
        <f t="shared" ref="BC17:BC21" si="31">(BB17*1000)/(480*1.73)</f>
        <v>13.783183472489833</v>
      </c>
      <c r="BD17" s="85"/>
    </row>
    <row r="18" spans="1:56" s="86" customFormat="1" ht="15.95" customHeight="1" x14ac:dyDescent="0.2">
      <c r="A18" s="101" t="s">
        <v>181</v>
      </c>
      <c r="B18" s="85">
        <v>1</v>
      </c>
      <c r="C18" s="261"/>
      <c r="D18" s="78" t="s">
        <v>190</v>
      </c>
      <c r="E18" s="61"/>
      <c r="F18" s="62">
        <v>30</v>
      </c>
      <c r="G18" s="262">
        <v>4.5399999999999998E-3</v>
      </c>
      <c r="H18" s="102">
        <v>2.5999999999999999E-2</v>
      </c>
      <c r="I18" s="65"/>
      <c r="J18" s="304">
        <v>500</v>
      </c>
      <c r="K18" s="57">
        <v>2</v>
      </c>
      <c r="L18" s="89">
        <f t="shared" si="11"/>
        <v>2.5999999999999999E-2</v>
      </c>
      <c r="M18" s="57">
        <v>1468</v>
      </c>
      <c r="N18" s="89">
        <f t="shared" si="12"/>
        <v>3.8168000000000001E-2</v>
      </c>
      <c r="O18" s="89"/>
      <c r="P18" s="103">
        <f t="shared" si="13"/>
        <v>42.278400000000005</v>
      </c>
      <c r="Q18" s="103">
        <f t="shared" si="14"/>
        <v>21.19792</v>
      </c>
      <c r="R18" s="104">
        <f t="shared" si="15"/>
        <v>63.476320000000001</v>
      </c>
      <c r="S18" s="65"/>
      <c r="T18" s="90">
        <f t="shared" si="0"/>
        <v>0.8181679999999999</v>
      </c>
      <c r="U18" s="62">
        <v>500</v>
      </c>
      <c r="V18" s="62">
        <v>500</v>
      </c>
      <c r="W18" s="62">
        <v>0</v>
      </c>
      <c r="X18" s="91">
        <f t="shared" si="16"/>
        <v>409.08399999999995</v>
      </c>
      <c r="Y18" s="91">
        <f t="shared" si="17"/>
        <v>500</v>
      </c>
      <c r="Z18" s="260">
        <f t="shared" si="18"/>
        <v>204.54199999999997</v>
      </c>
      <c r="AA18" s="93"/>
      <c r="AB18" s="105" t="s">
        <v>187</v>
      </c>
      <c r="AC18" s="78" t="s">
        <v>178</v>
      </c>
      <c r="AD18" s="57">
        <v>0</v>
      </c>
      <c r="AE18" s="57">
        <v>0</v>
      </c>
      <c r="AF18" s="83">
        <f t="shared" si="19"/>
        <v>0</v>
      </c>
      <c r="AG18" s="106">
        <f t="shared" si="20"/>
        <v>0</v>
      </c>
      <c r="AH18" s="57">
        <f t="shared" si="21"/>
        <v>1</v>
      </c>
      <c r="AI18" s="296">
        <f t="shared" si="22"/>
        <v>5</v>
      </c>
      <c r="AJ18" s="297">
        <f t="shared" si="23"/>
        <v>28</v>
      </c>
      <c r="AK18" s="107">
        <f t="shared" si="24"/>
        <v>12.000000000000002</v>
      </c>
      <c r="AL18" s="78"/>
      <c r="AM18" s="266">
        <f t="shared" si="25"/>
        <v>1</v>
      </c>
      <c r="AN18" s="107">
        <f t="shared" si="26"/>
        <v>8</v>
      </c>
      <c r="AO18" s="107">
        <f t="shared" si="27"/>
        <v>6</v>
      </c>
      <c r="AP18" s="107">
        <f t="shared" si="28"/>
        <v>15</v>
      </c>
      <c r="AQ18" s="96"/>
      <c r="AR18" s="78"/>
      <c r="AS18" s="108">
        <f t="shared" si="29"/>
        <v>1.5499999999999989</v>
      </c>
      <c r="AT18" s="78"/>
      <c r="AU18" s="79"/>
      <c r="AV18" s="78"/>
      <c r="AW18" s="78"/>
      <c r="AX18" s="96"/>
      <c r="AY18" s="283" t="e">
        <f t="shared" si="30"/>
        <v>#DIV/0!</v>
      </c>
      <c r="AZ18" s="283" t="e">
        <f t="shared" si="7"/>
        <v>#DIV/0!</v>
      </c>
      <c r="BA18" s="100">
        <f t="shared" si="8"/>
        <v>204.54199999999997</v>
      </c>
      <c r="BB18" s="83" t="e">
        <f t="shared" si="9"/>
        <v>#DIV/0!</v>
      </c>
      <c r="BC18" s="110" t="e">
        <f t="shared" si="31"/>
        <v>#DIV/0!</v>
      </c>
      <c r="BD18" s="85"/>
    </row>
    <row r="19" spans="1:56" s="86" customFormat="1" ht="15.95" customHeight="1" x14ac:dyDescent="0.2">
      <c r="A19" s="101" t="s">
        <v>182</v>
      </c>
      <c r="B19" s="85">
        <v>2</v>
      </c>
      <c r="C19" s="261"/>
      <c r="D19" s="78" t="s">
        <v>194</v>
      </c>
      <c r="E19" s="61"/>
      <c r="F19" s="62">
        <v>1</v>
      </c>
      <c r="G19" s="262">
        <v>4.5399999999999998E-3</v>
      </c>
      <c r="H19" s="102">
        <v>2.5999999999999999E-2</v>
      </c>
      <c r="I19" s="65"/>
      <c r="J19" s="304">
        <v>500</v>
      </c>
      <c r="K19" s="57">
        <v>2</v>
      </c>
      <c r="L19" s="89">
        <f t="shared" si="11"/>
        <v>2.5999999999999999E-2</v>
      </c>
      <c r="M19" s="57">
        <v>200</v>
      </c>
      <c r="N19" s="89">
        <f t="shared" si="12"/>
        <v>5.1999999999999998E-3</v>
      </c>
      <c r="O19" s="89"/>
      <c r="P19" s="103">
        <f t="shared" si="13"/>
        <v>5.76</v>
      </c>
      <c r="Q19" s="103">
        <f t="shared" si="14"/>
        <v>2.8879999999999999</v>
      </c>
      <c r="R19" s="104">
        <f t="shared" si="15"/>
        <v>8.6479999999999997</v>
      </c>
      <c r="S19" s="65"/>
      <c r="T19" s="90">
        <f t="shared" si="0"/>
        <v>3.1199999999999999E-2</v>
      </c>
      <c r="U19" s="62">
        <v>500</v>
      </c>
      <c r="V19" s="62">
        <v>500</v>
      </c>
      <c r="W19" s="62">
        <v>0</v>
      </c>
      <c r="X19" s="91">
        <f t="shared" si="16"/>
        <v>15.6</v>
      </c>
      <c r="Y19" s="91">
        <f t="shared" si="17"/>
        <v>500</v>
      </c>
      <c r="Z19" s="260">
        <f t="shared" si="18"/>
        <v>7.8</v>
      </c>
      <c r="AA19" s="93"/>
      <c r="AB19" s="105" t="s">
        <v>189</v>
      </c>
      <c r="AC19" s="78" t="s">
        <v>75</v>
      </c>
      <c r="AD19" s="57">
        <v>30</v>
      </c>
      <c r="AE19" s="57">
        <v>668</v>
      </c>
      <c r="AF19" s="83">
        <f t="shared" si="19"/>
        <v>20.04</v>
      </c>
      <c r="AG19" s="106">
        <f t="shared" si="20"/>
        <v>1.5</v>
      </c>
      <c r="AH19" s="57">
        <f t="shared" si="21"/>
        <v>2</v>
      </c>
      <c r="AI19" s="296">
        <f t="shared" si="22"/>
        <v>33.353836218974529</v>
      </c>
      <c r="AJ19" s="297">
        <f t="shared" si="23"/>
        <v>209.30360723121808</v>
      </c>
      <c r="AK19" s="107">
        <f t="shared" si="24"/>
        <v>39.597979746446669</v>
      </c>
      <c r="AL19" s="78"/>
      <c r="AM19" s="266">
        <f t="shared" si="25"/>
        <v>2</v>
      </c>
      <c r="AN19" s="107">
        <f t="shared" si="26"/>
        <v>16</v>
      </c>
      <c r="AO19" s="107">
        <f t="shared" si="27"/>
        <v>12</v>
      </c>
      <c r="AP19" s="107">
        <f t="shared" si="28"/>
        <v>30</v>
      </c>
      <c r="AQ19" s="96"/>
      <c r="AR19" s="78"/>
      <c r="AS19" s="108">
        <f t="shared" si="29"/>
        <v>3.0999999999999979</v>
      </c>
      <c r="AT19" s="78"/>
      <c r="AU19" s="79"/>
      <c r="AV19" s="78"/>
      <c r="AW19" s="78"/>
      <c r="AX19" s="96"/>
      <c r="AY19" s="283">
        <f t="shared" si="30"/>
        <v>52</v>
      </c>
      <c r="AZ19" s="283">
        <f t="shared" si="7"/>
        <v>74.850299401197603</v>
      </c>
      <c r="BA19" s="100">
        <f t="shared" si="8"/>
        <v>9.3000000000000007</v>
      </c>
      <c r="BB19" s="83">
        <f t="shared" si="9"/>
        <v>10.333333333333334</v>
      </c>
      <c r="BC19" s="110">
        <f t="shared" si="31"/>
        <v>12.443802183686579</v>
      </c>
      <c r="BD19" s="85"/>
    </row>
    <row r="20" spans="1:56" s="86" customFormat="1" ht="15.95" customHeight="1" x14ac:dyDescent="0.2">
      <c r="A20" s="101" t="s">
        <v>183</v>
      </c>
      <c r="B20" s="85">
        <v>1</v>
      </c>
      <c r="C20" s="261"/>
      <c r="D20" s="78" t="s">
        <v>191</v>
      </c>
      <c r="E20" s="61"/>
      <c r="F20" s="62">
        <v>5</v>
      </c>
      <c r="G20" s="262">
        <v>4.5399999999999998E-3</v>
      </c>
      <c r="H20" s="102">
        <v>2.5999999999999999E-2</v>
      </c>
      <c r="I20" s="65"/>
      <c r="J20" s="304">
        <v>500</v>
      </c>
      <c r="K20" s="57">
        <v>2</v>
      </c>
      <c r="L20" s="89">
        <f t="shared" si="11"/>
        <v>2.5999999999999999E-2</v>
      </c>
      <c r="M20" s="57">
        <v>567</v>
      </c>
      <c r="N20" s="89">
        <f t="shared" si="12"/>
        <v>1.4742E-2</v>
      </c>
      <c r="O20" s="89"/>
      <c r="P20" s="103">
        <f t="shared" si="13"/>
        <v>16.329599999999999</v>
      </c>
      <c r="Q20" s="103">
        <f t="shared" si="14"/>
        <v>8.187479999999999</v>
      </c>
      <c r="R20" s="104">
        <f t="shared" si="15"/>
        <v>24.51708</v>
      </c>
      <c r="S20" s="65"/>
      <c r="T20" s="90">
        <f t="shared" si="0"/>
        <v>0.14474200000000001</v>
      </c>
      <c r="U20" s="62">
        <v>500</v>
      </c>
      <c r="V20" s="62">
        <v>500</v>
      </c>
      <c r="W20" s="62">
        <v>0</v>
      </c>
      <c r="X20" s="91">
        <f t="shared" si="16"/>
        <v>72.371000000000009</v>
      </c>
      <c r="Y20" s="91">
        <f t="shared" si="17"/>
        <v>500</v>
      </c>
      <c r="Z20" s="260">
        <f t="shared" si="18"/>
        <v>36.185500000000005</v>
      </c>
      <c r="AA20" s="93"/>
      <c r="AB20" s="105" t="s">
        <v>187</v>
      </c>
      <c r="AC20" s="78" t="s">
        <v>75</v>
      </c>
      <c r="AD20" s="57">
        <v>80</v>
      </c>
      <c r="AE20" s="57">
        <v>625</v>
      </c>
      <c r="AF20" s="83">
        <f t="shared" si="19"/>
        <v>50</v>
      </c>
      <c r="AG20" s="106">
        <f t="shared" si="20"/>
        <v>4</v>
      </c>
      <c r="AH20" s="57">
        <f t="shared" si="21"/>
        <v>1</v>
      </c>
      <c r="AI20" s="296">
        <f t="shared" si="22"/>
        <v>24.062363218313326</v>
      </c>
      <c r="AJ20" s="297">
        <f t="shared" si="23"/>
        <v>148</v>
      </c>
      <c r="AK20" s="107">
        <f t="shared" si="24"/>
        <v>28.000000000000004</v>
      </c>
      <c r="AL20" s="78"/>
      <c r="AM20" s="266">
        <f t="shared" si="25"/>
        <v>1</v>
      </c>
      <c r="AN20" s="107">
        <f t="shared" si="26"/>
        <v>8</v>
      </c>
      <c r="AO20" s="107">
        <f t="shared" si="27"/>
        <v>6</v>
      </c>
      <c r="AP20" s="107">
        <f t="shared" si="28"/>
        <v>15</v>
      </c>
      <c r="AQ20" s="96"/>
      <c r="AR20" s="78"/>
      <c r="AS20" s="108">
        <f t="shared" si="29"/>
        <v>1.5499999999999989</v>
      </c>
      <c r="AT20" s="78"/>
      <c r="AU20" s="79"/>
      <c r="AV20" s="78"/>
      <c r="AW20" s="78"/>
      <c r="AX20" s="96"/>
      <c r="AY20" s="283">
        <f t="shared" si="30"/>
        <v>90.463750000000005</v>
      </c>
      <c r="AZ20" s="283">
        <f t="shared" si="7"/>
        <v>80</v>
      </c>
      <c r="BA20" s="100">
        <f t="shared" si="8"/>
        <v>40.185499999999998</v>
      </c>
      <c r="BB20" s="83">
        <f t="shared" si="9"/>
        <v>44.650555555555549</v>
      </c>
      <c r="BC20" s="110">
        <f t="shared" si="31"/>
        <v>53.769936844358803</v>
      </c>
      <c r="BD20" s="85"/>
    </row>
    <row r="21" spans="1:56" s="86" customFormat="1" ht="15.95" customHeight="1" x14ac:dyDescent="0.2">
      <c r="A21" s="101" t="s">
        <v>184</v>
      </c>
      <c r="B21" s="85">
        <v>1</v>
      </c>
      <c r="C21" s="60"/>
      <c r="D21" s="78" t="s">
        <v>192</v>
      </c>
      <c r="E21" s="61"/>
      <c r="F21" s="62">
        <v>1</v>
      </c>
      <c r="G21" s="262">
        <v>7.1000000000000005E-5</v>
      </c>
      <c r="H21" s="102">
        <v>5.0000000000000001E-3</v>
      </c>
      <c r="I21" s="65"/>
      <c r="J21" s="304">
        <v>500</v>
      </c>
      <c r="K21" s="57">
        <v>4</v>
      </c>
      <c r="L21" s="89">
        <f t="shared" si="11"/>
        <v>2.5999999999999999E-2</v>
      </c>
      <c r="M21" s="57">
        <v>200</v>
      </c>
      <c r="N21" s="89">
        <f t="shared" si="12"/>
        <v>2.5999999999999999E-3</v>
      </c>
      <c r="O21" s="89"/>
      <c r="P21" s="103">
        <f t="shared" si="13"/>
        <v>11.52</v>
      </c>
      <c r="Q21" s="103">
        <f t="shared" si="14"/>
        <v>5.7759999999999998</v>
      </c>
      <c r="R21" s="104">
        <f t="shared" si="15"/>
        <v>17.295999999999999</v>
      </c>
      <c r="S21" s="65"/>
      <c r="T21" s="90">
        <f t="shared" si="0"/>
        <v>7.6E-3</v>
      </c>
      <c r="U21" s="62">
        <v>1350</v>
      </c>
      <c r="V21" s="62">
        <v>1350</v>
      </c>
      <c r="W21" s="62">
        <v>0</v>
      </c>
      <c r="X21" s="91">
        <f t="shared" si="16"/>
        <v>10.26</v>
      </c>
      <c r="Y21" s="91">
        <f t="shared" si="17"/>
        <v>1350</v>
      </c>
      <c r="Z21" s="92">
        <f t="shared" si="18"/>
        <v>13.851000000000001</v>
      </c>
      <c r="AA21" s="93"/>
      <c r="AB21" s="105" t="s">
        <v>189</v>
      </c>
      <c r="AC21" s="78" t="s">
        <v>178</v>
      </c>
      <c r="AD21" s="57">
        <v>50</v>
      </c>
      <c r="AE21" s="57">
        <v>1500</v>
      </c>
      <c r="AF21" s="83">
        <f t="shared" si="19"/>
        <v>75</v>
      </c>
      <c r="AG21" s="106">
        <f t="shared" si="20"/>
        <v>6.75</v>
      </c>
      <c r="AH21" s="57">
        <f t="shared" si="21"/>
        <v>1</v>
      </c>
      <c r="AI21" s="296">
        <f t="shared" si="22"/>
        <v>53</v>
      </c>
      <c r="AJ21" s="297">
        <f t="shared" si="23"/>
        <v>28</v>
      </c>
      <c r="AK21" s="107">
        <f t="shared" si="24"/>
        <v>12.000000000000002</v>
      </c>
      <c r="AL21" s="78"/>
      <c r="AM21" s="266">
        <f t="shared" si="25"/>
        <v>1</v>
      </c>
      <c r="AN21" s="107">
        <f t="shared" si="26"/>
        <v>8</v>
      </c>
      <c r="AO21" s="107">
        <f t="shared" si="27"/>
        <v>6</v>
      </c>
      <c r="AP21" s="107">
        <f t="shared" si="28"/>
        <v>15</v>
      </c>
      <c r="AQ21" s="96"/>
      <c r="AR21" s="78"/>
      <c r="AS21" s="108">
        <f t="shared" si="29"/>
        <v>1.5499999999999989</v>
      </c>
      <c r="AT21" s="78"/>
      <c r="AU21" s="259"/>
      <c r="AV21" s="78"/>
      <c r="AW21" s="78"/>
      <c r="AX21" s="96"/>
      <c r="AY21" s="283">
        <f t="shared" si="30"/>
        <v>20.52</v>
      </c>
      <c r="AZ21" s="283">
        <f t="shared" si="7"/>
        <v>90</v>
      </c>
      <c r="BA21" s="100">
        <f t="shared" si="8"/>
        <v>20.600999999999999</v>
      </c>
      <c r="BB21" s="83">
        <f t="shared" si="9"/>
        <v>100.39473684210526</v>
      </c>
      <c r="BC21" s="110">
        <f t="shared" si="31"/>
        <v>120.89924956900924</v>
      </c>
      <c r="BD21" s="85"/>
    </row>
    <row r="22" spans="1:56" s="86" customFormat="1" ht="15.95" customHeight="1" x14ac:dyDescent="0.2">
      <c r="A22" s="101" t="s">
        <v>185</v>
      </c>
      <c r="B22" s="85">
        <v>1</v>
      </c>
      <c r="C22" s="60"/>
      <c r="D22" s="78" t="s">
        <v>193</v>
      </c>
      <c r="E22" s="61"/>
      <c r="F22" s="62">
        <v>2</v>
      </c>
      <c r="G22" s="262">
        <v>7.1000000000000005E-5</v>
      </c>
      <c r="H22" s="102">
        <v>5.0000000000000001E-3</v>
      </c>
      <c r="I22" s="65"/>
      <c r="J22" s="304">
        <v>500</v>
      </c>
      <c r="K22" s="57">
        <v>4</v>
      </c>
      <c r="L22" s="89">
        <f t="shared" ref="L22" si="32">IF(J22=500, 0.026, 0.122)</f>
        <v>2.5999999999999999E-2</v>
      </c>
      <c r="M22" s="57">
        <v>375</v>
      </c>
      <c r="N22" s="89">
        <f t="shared" ref="N22" si="33">2*M22*(L22/K22)/1000</f>
        <v>4.875E-3</v>
      </c>
      <c r="O22" s="89"/>
      <c r="P22" s="103">
        <f t="shared" ref="P22" si="34">IF(J22=500, (2 * K22 * M22 * $K$4/1000), (2 * K22 * M22 * $K$5/1000))</f>
        <v>21.6</v>
      </c>
      <c r="Q22" s="103">
        <f t="shared" ref="Q22" si="35">IF(J22=500, (2 * K22 * M22 * $N$4/1000), (2 * K22 * M22 * $N$5/1000))</f>
        <v>10.83</v>
      </c>
      <c r="R22" s="104">
        <f t="shared" ref="R22" si="36">P22 + Q22</f>
        <v>32.43</v>
      </c>
      <c r="S22" s="65"/>
      <c r="T22" s="90">
        <f t="shared" ref="T22" si="37">(F22*H22+N22)</f>
        <v>1.4874999999999999E-2</v>
      </c>
      <c r="U22" s="62">
        <v>1350</v>
      </c>
      <c r="V22" s="62">
        <v>1350</v>
      </c>
      <c r="W22" s="62">
        <v>0</v>
      </c>
      <c r="X22" s="91">
        <f t="shared" ref="X22" si="38">T22*U22+F22*W22*G22</f>
        <v>20.081250000000001</v>
      </c>
      <c r="Y22" s="91">
        <f t="shared" ref="Y22" si="39">SQRT(V22^2 + V22*(U22-V22) + (1/3)*(U22-V22)^2)</f>
        <v>1350</v>
      </c>
      <c r="Z22" s="260">
        <f t="shared" ref="Z22" si="40">U22*X22/1000</f>
        <v>27.1096875</v>
      </c>
      <c r="AA22" s="93"/>
      <c r="AB22" s="124" t="s">
        <v>187</v>
      </c>
      <c r="AC22" s="78" t="s">
        <v>178</v>
      </c>
      <c r="AD22" s="57">
        <v>50</v>
      </c>
      <c r="AE22" s="57">
        <v>1500</v>
      </c>
      <c r="AF22" s="83">
        <f t="shared" si="19"/>
        <v>75</v>
      </c>
      <c r="AG22" s="106">
        <f t="shared" ref="AG22" si="41">$AF$3*(AD22*Y22)/1000</f>
        <v>6.75</v>
      </c>
      <c r="AH22" s="57">
        <f t="shared" ref="AH22" si="42">B22</f>
        <v>1</v>
      </c>
      <c r="AI22" s="296">
        <f t="shared" si="22"/>
        <v>53</v>
      </c>
      <c r="AJ22" s="297">
        <f t="shared" ref="AJ22" si="43">IF(   AC22="SM",    SQRT(AH22)* (  SUM($V$64:$V$65)  +  SUM($AF$66:$AF$67)   ) * 40,          IF(AC22="SCR",  SQRT(AH22)*($V$65+$AF$67)*40,          IF(AC22="4QSM", (  AH22* $E$59  + ROUNDUP( (AH22*X22*Y22/(1000*$F$56)),0) * $E$60), "?????")       )       )</f>
        <v>28</v>
      </c>
      <c r="AK22" s="107">
        <f t="shared" ref="AK22" si="44">IF(   AC22="SM",    SQRT(AH22)* (  SUM($W$64:$W$65)  +  SUM($AG$66:$AG$67)   ) * 40,          IF(AC22="SCR",  SQRT(AH22)*($W$65+$AG$67)*40,          IF(AC22="4QSM", (  AH22* $E$62  + ROUNDUP( (AH22*X22*Y22/(1000*$F$56)),0) * $E$63), "?????")       )       )</f>
        <v>12.000000000000002</v>
      </c>
      <c r="AL22" s="78"/>
      <c r="AM22" s="266">
        <f t="shared" si="25"/>
        <v>1</v>
      </c>
      <c r="AN22" s="107">
        <f t="shared" si="26"/>
        <v>8</v>
      </c>
      <c r="AO22" s="107">
        <f t="shared" si="27"/>
        <v>6</v>
      </c>
      <c r="AP22" s="107">
        <f t="shared" si="28"/>
        <v>15</v>
      </c>
      <c r="AQ22" s="96"/>
      <c r="AR22" s="78"/>
      <c r="AS22" s="108">
        <f t="shared" ref="AS22" si="45">AH22 * ($AP$63 - $AE$63)</f>
        <v>1.5499999999999989</v>
      </c>
      <c r="AT22" s="78"/>
      <c r="AU22" s="265"/>
      <c r="AV22" s="78"/>
      <c r="AW22" s="78"/>
      <c r="AX22" s="96"/>
      <c r="AY22" s="283">
        <f t="shared" si="30"/>
        <v>40.162500000000001</v>
      </c>
      <c r="AZ22" s="283">
        <f t="shared" ref="AZ22" si="46">Y22/AE22*100</f>
        <v>90</v>
      </c>
      <c r="BA22" s="100">
        <f t="shared" si="8"/>
        <v>33.8596875</v>
      </c>
      <c r="BB22" s="83">
        <f t="shared" si="9"/>
        <v>84.306722689075627</v>
      </c>
      <c r="BC22" s="110">
        <f t="shared" ref="BC22:BC26" si="47">(BB22*1000)/(480*1.73)</f>
        <v>101.52543676430109</v>
      </c>
      <c r="BD22" s="85"/>
    </row>
    <row r="23" spans="1:56" s="86" customFormat="1" ht="15.95" customHeight="1" x14ac:dyDescent="0.2">
      <c r="A23" s="101"/>
      <c r="B23" s="85"/>
      <c r="C23" s="60"/>
      <c r="D23" s="78"/>
      <c r="E23" s="61"/>
      <c r="F23" s="62"/>
      <c r="G23" s="262"/>
      <c r="H23" s="102"/>
      <c r="I23" s="65"/>
      <c r="J23" s="304"/>
      <c r="K23" s="57"/>
      <c r="L23" s="89"/>
      <c r="M23" s="57"/>
      <c r="N23" s="89"/>
      <c r="O23" s="89"/>
      <c r="P23" s="103"/>
      <c r="Q23" s="103"/>
      <c r="R23" s="104"/>
      <c r="S23" s="65"/>
      <c r="T23" s="90"/>
      <c r="U23" s="62"/>
      <c r="V23" s="62"/>
      <c r="W23" s="62"/>
      <c r="X23" s="91"/>
      <c r="Y23" s="91"/>
      <c r="Z23" s="92"/>
      <c r="AA23" s="93"/>
      <c r="AB23" s="124"/>
      <c r="AC23" s="78"/>
      <c r="AD23" s="57"/>
      <c r="AE23" s="57"/>
      <c r="AF23" s="83"/>
      <c r="AG23" s="106"/>
      <c r="AH23" s="57"/>
      <c r="AI23" s="296"/>
      <c r="AJ23" s="297"/>
      <c r="AK23" s="107"/>
      <c r="AL23" s="78"/>
      <c r="AM23" s="266"/>
      <c r="AN23" s="107"/>
      <c r="AO23" s="107"/>
      <c r="AP23" s="107"/>
      <c r="AQ23" s="96"/>
      <c r="AR23" s="78"/>
      <c r="AS23" s="108"/>
      <c r="AT23" s="78"/>
      <c r="AU23" s="265"/>
      <c r="AV23" s="78"/>
      <c r="AW23" s="78"/>
      <c r="AX23" s="96"/>
      <c r="AY23" s="283"/>
      <c r="AZ23" s="283"/>
      <c r="BA23" s="100">
        <f t="shared" si="8"/>
        <v>0</v>
      </c>
      <c r="BB23" s="83" t="e">
        <f t="shared" si="9"/>
        <v>#DIV/0!</v>
      </c>
      <c r="BC23" s="110" t="e">
        <f t="shared" si="47"/>
        <v>#DIV/0!</v>
      </c>
      <c r="BD23" s="85"/>
    </row>
    <row r="24" spans="1:56" s="86" customFormat="1" ht="15.95" customHeight="1" x14ac:dyDescent="0.2">
      <c r="A24" s="101"/>
      <c r="B24" s="85"/>
      <c r="C24" s="60"/>
      <c r="D24" s="78"/>
      <c r="E24" s="61"/>
      <c r="F24" s="62"/>
      <c r="G24" s="262"/>
      <c r="H24" s="102"/>
      <c r="I24" s="65"/>
      <c r="J24" s="304"/>
      <c r="K24" s="57"/>
      <c r="L24" s="89"/>
      <c r="M24" s="57"/>
      <c r="N24" s="89"/>
      <c r="O24" s="89"/>
      <c r="P24" s="103"/>
      <c r="Q24" s="103"/>
      <c r="R24" s="104"/>
      <c r="S24" s="65"/>
      <c r="T24" s="90"/>
      <c r="U24" s="62"/>
      <c r="V24" s="62"/>
      <c r="W24" s="62"/>
      <c r="X24" s="91"/>
      <c r="Y24" s="91"/>
      <c r="Z24" s="260"/>
      <c r="AA24" s="93"/>
      <c r="AB24" s="124"/>
      <c r="AC24" s="78"/>
      <c r="AD24" s="57"/>
      <c r="AE24" s="57"/>
      <c r="AF24" s="83"/>
      <c r="AG24" s="106"/>
      <c r="AH24" s="57"/>
      <c r="AI24" s="296"/>
      <c r="AJ24" s="297"/>
      <c r="AK24" s="107"/>
      <c r="AL24" s="78"/>
      <c r="AM24" s="266"/>
      <c r="AN24" s="107"/>
      <c r="AO24" s="107"/>
      <c r="AP24" s="107"/>
      <c r="AQ24" s="96"/>
      <c r="AR24" s="78"/>
      <c r="AS24" s="108"/>
      <c r="AT24" s="78"/>
      <c r="AU24" s="265"/>
      <c r="AV24" s="78"/>
      <c r="AW24" s="78"/>
      <c r="AX24" s="96"/>
      <c r="AY24" s="283"/>
      <c r="AZ24" s="283"/>
      <c r="BA24" s="100">
        <f t="shared" si="8"/>
        <v>0</v>
      </c>
      <c r="BB24" s="83" t="e">
        <f t="shared" si="9"/>
        <v>#DIV/0!</v>
      </c>
      <c r="BC24" s="110" t="e">
        <f t="shared" si="47"/>
        <v>#DIV/0!</v>
      </c>
      <c r="BD24" s="85"/>
    </row>
    <row r="25" spans="1:56" s="86" customFormat="1" ht="15.95" customHeight="1" x14ac:dyDescent="0.2">
      <c r="A25" s="101"/>
      <c r="B25" s="85"/>
      <c r="C25" s="60"/>
      <c r="D25" s="78"/>
      <c r="E25" s="61"/>
      <c r="F25" s="62"/>
      <c r="G25" s="262"/>
      <c r="H25" s="102"/>
      <c r="I25" s="65"/>
      <c r="J25" s="304"/>
      <c r="K25" s="57"/>
      <c r="L25" s="89"/>
      <c r="M25" s="57"/>
      <c r="N25" s="89"/>
      <c r="O25" s="89"/>
      <c r="P25" s="103"/>
      <c r="Q25" s="103"/>
      <c r="R25" s="104"/>
      <c r="S25" s="65"/>
      <c r="T25" s="90"/>
      <c r="U25" s="62"/>
      <c r="V25" s="62"/>
      <c r="W25" s="62"/>
      <c r="X25" s="91"/>
      <c r="Y25" s="91"/>
      <c r="Z25" s="92"/>
      <c r="AA25" s="93"/>
      <c r="AB25" s="124"/>
      <c r="AC25" s="78"/>
      <c r="AD25" s="57"/>
      <c r="AE25" s="57"/>
      <c r="AF25" s="83"/>
      <c r="AG25" s="106"/>
      <c r="AH25" s="57"/>
      <c r="AI25" s="296"/>
      <c r="AJ25" s="297"/>
      <c r="AK25" s="107"/>
      <c r="AL25" s="78"/>
      <c r="AM25" s="266"/>
      <c r="AN25" s="107"/>
      <c r="AO25" s="107"/>
      <c r="AP25" s="107"/>
      <c r="AQ25" s="96"/>
      <c r="AR25" s="78"/>
      <c r="AS25" s="108"/>
      <c r="AT25" s="78"/>
      <c r="AU25" s="265"/>
      <c r="AV25" s="78"/>
      <c r="AW25" s="78"/>
      <c r="AX25" s="96"/>
      <c r="AY25" s="283"/>
      <c r="AZ25" s="283"/>
      <c r="BA25" s="100">
        <f t="shared" si="8"/>
        <v>0</v>
      </c>
      <c r="BB25" s="83" t="e">
        <f t="shared" si="9"/>
        <v>#DIV/0!</v>
      </c>
      <c r="BC25" s="110" t="e">
        <f t="shared" si="47"/>
        <v>#DIV/0!</v>
      </c>
      <c r="BD25" s="85"/>
    </row>
    <row r="26" spans="1:56" s="128" customFormat="1" ht="15.95" customHeight="1" x14ac:dyDescent="0.2">
      <c r="A26" s="101"/>
      <c r="B26" s="112"/>
      <c r="C26" s="267"/>
      <c r="D26" s="61"/>
      <c r="E26" s="61"/>
      <c r="F26" s="107"/>
      <c r="G26" s="262"/>
      <c r="H26" s="102"/>
      <c r="I26" s="115"/>
      <c r="J26" s="304"/>
      <c r="K26" s="57"/>
      <c r="L26" s="89"/>
      <c r="M26" s="57"/>
      <c r="N26" s="89"/>
      <c r="O26" s="89"/>
      <c r="P26" s="103"/>
      <c r="Q26" s="103"/>
      <c r="R26" s="104"/>
      <c r="S26" s="65"/>
      <c r="T26" s="90"/>
      <c r="U26" s="62"/>
      <c r="V26" s="62"/>
      <c r="W26" s="62"/>
      <c r="X26" s="91"/>
      <c r="Y26" s="91"/>
      <c r="Z26" s="260"/>
      <c r="AA26" s="93"/>
      <c r="AB26" s="124"/>
      <c r="AC26" s="78"/>
      <c r="AD26" s="57"/>
      <c r="AE26" s="57"/>
      <c r="AF26" s="83"/>
      <c r="AG26" s="106"/>
      <c r="AH26" s="57"/>
      <c r="AI26" s="296"/>
      <c r="AJ26" s="297"/>
      <c r="AK26" s="107"/>
      <c r="AL26" s="78"/>
      <c r="AM26" s="266"/>
      <c r="AN26" s="107"/>
      <c r="AO26" s="107"/>
      <c r="AP26" s="107"/>
      <c r="AQ26" s="96"/>
      <c r="AR26" s="78"/>
      <c r="AS26" s="108"/>
      <c r="AT26" s="78"/>
      <c r="AU26" s="265"/>
      <c r="AV26" s="78"/>
      <c r="AW26" s="78"/>
      <c r="AX26" s="96"/>
      <c r="AY26" s="283"/>
      <c r="AZ26" s="283"/>
      <c r="BA26" s="100">
        <f t="shared" si="8"/>
        <v>0</v>
      </c>
      <c r="BB26" s="83" t="e">
        <f t="shared" si="9"/>
        <v>#DIV/0!</v>
      </c>
      <c r="BC26" s="110" t="e">
        <f t="shared" si="47"/>
        <v>#DIV/0!</v>
      </c>
      <c r="BD26" s="61"/>
    </row>
    <row r="27" spans="1:56" s="128" customFormat="1" ht="15.95" customHeight="1" x14ac:dyDescent="0.2">
      <c r="A27" s="101"/>
      <c r="B27" s="112"/>
      <c r="C27" s="267"/>
      <c r="D27" s="61"/>
      <c r="E27" s="61"/>
      <c r="F27" s="107"/>
      <c r="G27" s="263"/>
      <c r="H27" s="268"/>
      <c r="I27" s="115"/>
      <c r="J27" s="116"/>
      <c r="K27" s="61"/>
      <c r="L27" s="117"/>
      <c r="M27" s="61"/>
      <c r="N27" s="117"/>
      <c r="O27" s="117"/>
      <c r="P27" s="118"/>
      <c r="Q27" s="118"/>
      <c r="R27" s="119"/>
      <c r="S27" s="120"/>
      <c r="T27" s="121"/>
      <c r="U27" s="62"/>
      <c r="V27" s="62"/>
      <c r="W27" s="107"/>
      <c r="X27" s="91"/>
      <c r="Y27" s="91"/>
      <c r="Z27" s="122"/>
      <c r="AA27" s="123"/>
      <c r="AB27" s="124"/>
      <c r="AC27" s="61"/>
      <c r="AD27" s="61"/>
      <c r="AE27" s="61"/>
      <c r="AF27" s="107"/>
      <c r="AG27" s="125"/>
      <c r="AH27" s="57"/>
      <c r="AI27" s="79"/>
      <c r="AJ27" s="107"/>
      <c r="AK27" s="107"/>
      <c r="AL27" s="125"/>
      <c r="AM27" s="79"/>
      <c r="AN27" s="107"/>
      <c r="AO27" s="107"/>
      <c r="AP27" s="107"/>
      <c r="AQ27" s="126"/>
      <c r="AR27" s="61"/>
      <c r="AS27" s="111"/>
      <c r="AT27" s="61"/>
      <c r="AU27" s="61"/>
      <c r="AV27" s="78"/>
      <c r="AW27" s="78"/>
      <c r="AX27" s="126"/>
      <c r="AY27" s="61"/>
      <c r="AZ27" s="109"/>
      <c r="BA27" s="127"/>
      <c r="BB27" s="79"/>
      <c r="BC27" s="110"/>
      <c r="BD27" s="79"/>
    </row>
    <row r="28" spans="1:56" s="128" customFormat="1" ht="15.95" customHeight="1" x14ac:dyDescent="0.2">
      <c r="A28" s="101"/>
      <c r="B28" s="112"/>
      <c r="C28" s="267"/>
      <c r="D28" s="61"/>
      <c r="E28" s="61"/>
      <c r="F28" s="107"/>
      <c r="G28" s="263"/>
      <c r="H28" s="268"/>
      <c r="I28" s="115"/>
      <c r="J28" s="116"/>
      <c r="K28" s="61"/>
      <c r="L28" s="117"/>
      <c r="M28" s="61"/>
      <c r="N28" s="117"/>
      <c r="O28" s="117"/>
      <c r="P28" s="118"/>
      <c r="Q28" s="118"/>
      <c r="R28" s="119"/>
      <c r="S28" s="120"/>
      <c r="T28" s="121"/>
      <c r="U28" s="62"/>
      <c r="V28" s="62"/>
      <c r="W28" s="107"/>
      <c r="X28" s="91"/>
      <c r="Y28" s="91"/>
      <c r="Z28" s="122"/>
      <c r="AA28" s="123"/>
      <c r="AB28" s="124"/>
      <c r="AC28" s="61"/>
      <c r="AD28" s="61"/>
      <c r="AE28" s="61"/>
      <c r="AF28" s="107"/>
      <c r="AG28" s="125"/>
      <c r="AH28" s="57"/>
      <c r="AI28" s="79"/>
      <c r="AJ28" s="107"/>
      <c r="AK28" s="107"/>
      <c r="AL28" s="125"/>
      <c r="AM28" s="79"/>
      <c r="AN28" s="107"/>
      <c r="AO28" s="107"/>
      <c r="AP28" s="107"/>
      <c r="AQ28" s="126"/>
      <c r="AR28" s="61"/>
      <c r="AS28" s="108"/>
      <c r="AT28" s="61"/>
      <c r="AU28" s="61"/>
      <c r="AV28" s="78"/>
      <c r="AW28" s="78"/>
      <c r="AX28" s="126"/>
      <c r="AY28" s="61"/>
      <c r="AZ28" s="109"/>
      <c r="BA28" s="127"/>
      <c r="BB28" s="79"/>
      <c r="BC28" s="110"/>
      <c r="BD28" s="59"/>
    </row>
    <row r="29" spans="1:56" s="128" customFormat="1" ht="15.95" customHeight="1" x14ac:dyDescent="0.2">
      <c r="A29" s="101"/>
      <c r="B29" s="112"/>
      <c r="C29" s="267"/>
      <c r="D29" s="61"/>
      <c r="E29" s="61"/>
      <c r="F29" s="107"/>
      <c r="G29" s="263"/>
      <c r="H29" s="268"/>
      <c r="I29" s="115"/>
      <c r="J29" s="116"/>
      <c r="K29" s="61"/>
      <c r="L29" s="117"/>
      <c r="M29" s="61"/>
      <c r="N29" s="117"/>
      <c r="O29" s="117"/>
      <c r="P29" s="118"/>
      <c r="Q29" s="118"/>
      <c r="R29" s="119"/>
      <c r="S29" s="120"/>
      <c r="T29" s="121"/>
      <c r="U29" s="62"/>
      <c r="V29" s="62"/>
      <c r="W29" s="107"/>
      <c r="X29" s="91"/>
      <c r="Y29" s="91"/>
      <c r="Z29" s="122"/>
      <c r="AA29" s="123"/>
      <c r="AB29" s="124"/>
      <c r="AC29" s="61"/>
      <c r="AD29" s="61"/>
      <c r="AE29" s="61"/>
      <c r="AF29" s="107"/>
      <c r="AG29" s="125"/>
      <c r="AH29" s="57"/>
      <c r="AI29" s="79"/>
      <c r="AJ29" s="107"/>
      <c r="AK29" s="107"/>
      <c r="AL29" s="125"/>
      <c r="AM29" s="79"/>
      <c r="AN29" s="107"/>
      <c r="AO29" s="107"/>
      <c r="AP29" s="107"/>
      <c r="AQ29" s="126"/>
      <c r="AR29" s="61"/>
      <c r="AS29" s="108"/>
      <c r="AT29" s="61"/>
      <c r="AU29" s="61"/>
      <c r="AV29" s="78"/>
      <c r="AW29" s="78"/>
      <c r="AX29" s="126"/>
      <c r="AY29" s="61"/>
      <c r="AZ29" s="109"/>
      <c r="BA29" s="127"/>
      <c r="BB29" s="79"/>
      <c r="BC29" s="110"/>
      <c r="BD29" s="59"/>
    </row>
    <row r="30" spans="1:56" s="86" customFormat="1" ht="15.95" customHeight="1" x14ac:dyDescent="0.2">
      <c r="A30" s="101"/>
      <c r="B30" s="112"/>
      <c r="C30" s="267"/>
      <c r="D30" s="61"/>
      <c r="E30" s="61"/>
      <c r="F30" s="107"/>
      <c r="G30" s="263"/>
      <c r="H30" s="268"/>
      <c r="I30" s="112"/>
      <c r="J30" s="129"/>
      <c r="K30" s="57"/>
      <c r="L30" s="89"/>
      <c r="M30" s="61"/>
      <c r="N30" s="89"/>
      <c r="O30" s="89"/>
      <c r="P30" s="103"/>
      <c r="Q30" s="103"/>
      <c r="R30" s="104"/>
      <c r="S30" s="65"/>
      <c r="T30" s="90"/>
      <c r="U30" s="62"/>
      <c r="V30" s="62"/>
      <c r="W30" s="62"/>
      <c r="X30" s="91"/>
      <c r="Y30" s="91"/>
      <c r="Z30" s="92"/>
      <c r="AA30" s="93"/>
      <c r="AB30" s="124"/>
      <c r="AC30" s="61"/>
      <c r="AD30" s="61"/>
      <c r="AE30" s="61"/>
      <c r="AF30" s="62"/>
      <c r="AG30" s="106"/>
      <c r="AH30" s="57"/>
      <c r="AI30" s="79"/>
      <c r="AJ30" s="107"/>
      <c r="AK30" s="107"/>
      <c r="AL30" s="106"/>
      <c r="AM30" s="79"/>
      <c r="AN30" s="107"/>
      <c r="AO30" s="107"/>
      <c r="AP30" s="107"/>
      <c r="AQ30" s="130"/>
      <c r="AR30" s="57"/>
      <c r="AS30" s="108"/>
      <c r="AT30" s="57"/>
      <c r="AU30" s="61"/>
      <c r="AV30" s="78"/>
      <c r="AW30" s="78"/>
      <c r="AX30" s="130"/>
      <c r="AY30" s="57"/>
      <c r="AZ30" s="109"/>
      <c r="BA30" s="131"/>
      <c r="BB30" s="83"/>
      <c r="BC30" s="84"/>
      <c r="BD30" s="57"/>
    </row>
    <row r="31" spans="1:56" s="128" customFormat="1" ht="15.95" customHeight="1" x14ac:dyDescent="0.2">
      <c r="A31" s="101"/>
      <c r="B31" s="112"/>
      <c r="C31" s="267"/>
      <c r="D31" s="61"/>
      <c r="E31" s="61"/>
      <c r="F31" s="107"/>
      <c r="G31" s="263"/>
      <c r="H31" s="268"/>
      <c r="I31" s="115"/>
      <c r="J31" s="116"/>
      <c r="K31" s="61"/>
      <c r="L31" s="117"/>
      <c r="M31" s="61"/>
      <c r="N31" s="117"/>
      <c r="O31" s="117"/>
      <c r="P31" s="118"/>
      <c r="Q31" s="118"/>
      <c r="R31" s="119"/>
      <c r="S31" s="120"/>
      <c r="T31" s="121"/>
      <c r="U31" s="62"/>
      <c r="V31" s="62"/>
      <c r="W31" s="107"/>
      <c r="X31" s="91"/>
      <c r="Y31" s="91"/>
      <c r="Z31" s="122"/>
      <c r="AA31" s="123"/>
      <c r="AB31" s="124"/>
      <c r="AC31" s="61"/>
      <c r="AD31" s="61"/>
      <c r="AE31" s="61"/>
      <c r="AF31" s="107"/>
      <c r="AG31" s="125"/>
      <c r="AH31" s="57"/>
      <c r="AI31" s="79"/>
      <c r="AJ31" s="107"/>
      <c r="AK31" s="107"/>
      <c r="AL31" s="125"/>
      <c r="AM31" s="79"/>
      <c r="AN31" s="107"/>
      <c r="AO31" s="107"/>
      <c r="AP31" s="107"/>
      <c r="AQ31" s="126"/>
      <c r="AR31" s="61"/>
      <c r="AS31" s="108"/>
      <c r="AT31" s="61"/>
      <c r="AU31" s="61"/>
      <c r="AV31" s="78"/>
      <c r="AW31" s="78"/>
      <c r="AX31" s="126"/>
      <c r="AY31" s="61"/>
      <c r="AZ31" s="109"/>
      <c r="BA31" s="127"/>
      <c r="BB31" s="79"/>
      <c r="BC31" s="110"/>
      <c r="BD31" s="61"/>
    </row>
    <row r="32" spans="1:56" s="128" customFormat="1" ht="15.95" customHeight="1" x14ac:dyDescent="0.2">
      <c r="A32" s="101"/>
      <c r="B32" s="112"/>
      <c r="C32" s="267"/>
      <c r="D32" s="61"/>
      <c r="E32" s="61"/>
      <c r="F32" s="107"/>
      <c r="G32" s="263"/>
      <c r="H32" s="268"/>
      <c r="I32" s="115"/>
      <c r="J32" s="116"/>
      <c r="K32" s="61"/>
      <c r="L32" s="117"/>
      <c r="M32" s="61"/>
      <c r="N32" s="117"/>
      <c r="O32" s="117"/>
      <c r="P32" s="118"/>
      <c r="Q32" s="118"/>
      <c r="R32" s="119"/>
      <c r="S32" s="120"/>
      <c r="T32" s="121"/>
      <c r="U32" s="62"/>
      <c r="V32" s="62"/>
      <c r="W32" s="107"/>
      <c r="X32" s="91"/>
      <c r="Y32" s="91"/>
      <c r="Z32" s="122"/>
      <c r="AA32" s="123"/>
      <c r="AB32" s="124"/>
      <c r="AC32" s="61"/>
      <c r="AD32" s="61"/>
      <c r="AE32" s="61"/>
      <c r="AF32" s="107"/>
      <c r="AG32" s="125"/>
      <c r="AH32" s="57"/>
      <c r="AI32" s="79"/>
      <c r="AJ32" s="107"/>
      <c r="AK32" s="107"/>
      <c r="AL32" s="125"/>
      <c r="AM32" s="79"/>
      <c r="AN32" s="107"/>
      <c r="AO32" s="107"/>
      <c r="AP32" s="107"/>
      <c r="AQ32" s="126"/>
      <c r="AR32" s="61"/>
      <c r="AS32" s="108"/>
      <c r="AT32" s="61"/>
      <c r="AU32" s="61"/>
      <c r="AV32" s="78"/>
      <c r="AW32" s="78"/>
      <c r="AX32" s="126"/>
      <c r="AY32" s="61"/>
      <c r="AZ32" s="109"/>
      <c r="BA32" s="127"/>
      <c r="BB32" s="79"/>
      <c r="BC32" s="110"/>
      <c r="BD32" s="79"/>
    </row>
    <row r="33" spans="1:57" s="128" customFormat="1" ht="15.95" customHeight="1" x14ac:dyDescent="0.2">
      <c r="A33" s="101"/>
      <c r="B33" s="112"/>
      <c r="C33" s="267"/>
      <c r="D33" s="61"/>
      <c r="E33" s="61"/>
      <c r="F33" s="107"/>
      <c r="G33" s="263"/>
      <c r="H33" s="268"/>
      <c r="I33" s="115"/>
      <c r="J33" s="116"/>
      <c r="K33" s="61"/>
      <c r="L33" s="117"/>
      <c r="M33" s="61"/>
      <c r="N33" s="117"/>
      <c r="O33" s="117"/>
      <c r="P33" s="118"/>
      <c r="Q33" s="118"/>
      <c r="R33" s="119"/>
      <c r="S33" s="120"/>
      <c r="T33" s="121"/>
      <c r="U33" s="62"/>
      <c r="V33" s="62"/>
      <c r="W33" s="107"/>
      <c r="X33" s="91"/>
      <c r="Y33" s="91"/>
      <c r="Z33" s="122"/>
      <c r="AA33" s="123"/>
      <c r="AB33" s="124"/>
      <c r="AC33" s="61"/>
      <c r="AD33" s="61"/>
      <c r="AE33" s="61"/>
      <c r="AF33" s="107"/>
      <c r="AG33" s="125"/>
      <c r="AH33" s="57"/>
      <c r="AI33" s="79"/>
      <c r="AJ33" s="107"/>
      <c r="AK33" s="107"/>
      <c r="AL33" s="125"/>
      <c r="AM33" s="79"/>
      <c r="AN33" s="107"/>
      <c r="AO33" s="107"/>
      <c r="AP33" s="107"/>
      <c r="AQ33" s="126"/>
      <c r="AR33" s="61"/>
      <c r="AS33" s="108"/>
      <c r="AT33" s="61"/>
      <c r="AU33" s="61"/>
      <c r="AV33" s="78"/>
      <c r="AW33" s="78"/>
      <c r="AX33" s="126"/>
      <c r="AY33" s="61"/>
      <c r="AZ33" s="109"/>
      <c r="BA33" s="127"/>
      <c r="BB33" s="79"/>
      <c r="BC33" s="110"/>
      <c r="BD33" s="59"/>
    </row>
    <row r="34" spans="1:57" s="128" customFormat="1" ht="15.95" customHeight="1" x14ac:dyDescent="0.2">
      <c r="A34" s="101"/>
      <c r="B34" s="112"/>
      <c r="C34" s="267"/>
      <c r="D34" s="61"/>
      <c r="E34" s="61"/>
      <c r="F34" s="107"/>
      <c r="G34" s="61"/>
      <c r="H34" s="268"/>
      <c r="I34" s="115"/>
      <c r="J34" s="116"/>
      <c r="K34" s="61"/>
      <c r="L34" s="117"/>
      <c r="M34" s="61"/>
      <c r="N34" s="117"/>
      <c r="O34" s="117"/>
      <c r="P34" s="118"/>
      <c r="Q34" s="118"/>
      <c r="R34" s="119"/>
      <c r="S34" s="120"/>
      <c r="T34" s="121"/>
      <c r="U34" s="62"/>
      <c r="V34" s="62"/>
      <c r="W34" s="107"/>
      <c r="X34" s="91"/>
      <c r="Y34" s="91"/>
      <c r="Z34" s="122"/>
      <c r="AA34" s="123"/>
      <c r="AB34" s="124"/>
      <c r="AC34" s="61"/>
      <c r="AD34" s="61"/>
      <c r="AE34" s="61"/>
      <c r="AF34" s="107"/>
      <c r="AG34" s="125"/>
      <c r="AH34" s="57"/>
      <c r="AI34" s="79"/>
      <c r="AJ34" s="107"/>
      <c r="AK34" s="107"/>
      <c r="AL34" s="125"/>
      <c r="AM34" s="79"/>
      <c r="AN34" s="107"/>
      <c r="AO34" s="107"/>
      <c r="AP34" s="107"/>
      <c r="AQ34" s="126"/>
      <c r="AR34" s="61"/>
      <c r="AS34" s="108"/>
      <c r="AT34" s="61"/>
      <c r="AU34" s="61"/>
      <c r="AV34" s="78"/>
      <c r="AW34" s="78"/>
      <c r="AX34" s="126"/>
      <c r="AY34" s="61"/>
      <c r="AZ34" s="109"/>
      <c r="BA34" s="127"/>
      <c r="BB34" s="79"/>
      <c r="BC34" s="110"/>
      <c r="BD34" s="79"/>
    </row>
    <row r="35" spans="1:57" s="128" customFormat="1" ht="15.95" customHeight="1" x14ac:dyDescent="0.2">
      <c r="A35" s="101"/>
      <c r="B35" s="112"/>
      <c r="C35" s="267"/>
      <c r="D35" s="61"/>
      <c r="E35" s="61"/>
      <c r="F35" s="107"/>
      <c r="G35" s="61"/>
      <c r="H35" s="268"/>
      <c r="I35" s="115"/>
      <c r="J35" s="116"/>
      <c r="K35" s="61"/>
      <c r="L35" s="117"/>
      <c r="M35" s="61"/>
      <c r="N35" s="117"/>
      <c r="O35" s="117"/>
      <c r="P35" s="118"/>
      <c r="Q35" s="118"/>
      <c r="R35" s="119"/>
      <c r="S35" s="120"/>
      <c r="T35" s="121"/>
      <c r="U35" s="62"/>
      <c r="V35" s="62"/>
      <c r="W35" s="107"/>
      <c r="X35" s="91"/>
      <c r="Y35" s="91"/>
      <c r="Z35" s="122"/>
      <c r="AA35" s="123"/>
      <c r="AB35" s="124"/>
      <c r="AC35" s="61"/>
      <c r="AD35" s="61"/>
      <c r="AE35" s="61"/>
      <c r="AF35" s="107"/>
      <c r="AG35" s="125"/>
      <c r="AH35" s="57"/>
      <c r="AI35" s="79"/>
      <c r="AJ35" s="107"/>
      <c r="AK35" s="107"/>
      <c r="AL35" s="125"/>
      <c r="AM35" s="79"/>
      <c r="AN35" s="107"/>
      <c r="AO35" s="107"/>
      <c r="AP35" s="107"/>
      <c r="AQ35" s="126"/>
      <c r="AR35" s="61"/>
      <c r="AS35" s="108"/>
      <c r="AT35" s="61"/>
      <c r="AU35" s="61"/>
      <c r="AV35" s="78"/>
      <c r="AW35" s="78"/>
      <c r="AX35" s="126"/>
      <c r="AY35" s="61"/>
      <c r="AZ35" s="109"/>
      <c r="BA35" s="127"/>
      <c r="BB35" s="79"/>
      <c r="BC35" s="110"/>
      <c r="BD35" s="59"/>
    </row>
    <row r="36" spans="1:57" s="128" customFormat="1" ht="15.95" customHeight="1" x14ac:dyDescent="0.2">
      <c r="A36" s="101"/>
      <c r="B36" s="112"/>
      <c r="C36" s="267"/>
      <c r="D36" s="61"/>
      <c r="E36" s="61"/>
      <c r="F36" s="107"/>
      <c r="G36" s="61"/>
      <c r="H36" s="268"/>
      <c r="I36" s="115"/>
      <c r="J36" s="116"/>
      <c r="K36" s="61"/>
      <c r="L36" s="117"/>
      <c r="M36" s="61"/>
      <c r="N36" s="117"/>
      <c r="O36" s="117"/>
      <c r="P36" s="118"/>
      <c r="Q36" s="118"/>
      <c r="R36" s="119"/>
      <c r="S36" s="120"/>
      <c r="T36" s="121"/>
      <c r="U36" s="62"/>
      <c r="V36" s="62"/>
      <c r="W36" s="107"/>
      <c r="X36" s="91"/>
      <c r="Y36" s="91"/>
      <c r="Z36" s="122"/>
      <c r="AA36" s="123"/>
      <c r="AB36" s="124"/>
      <c r="AC36" s="61"/>
      <c r="AD36" s="61"/>
      <c r="AE36" s="61"/>
      <c r="AF36" s="107"/>
      <c r="AG36" s="125"/>
      <c r="AH36" s="57"/>
      <c r="AI36" s="79"/>
      <c r="AJ36" s="107"/>
      <c r="AK36" s="107"/>
      <c r="AL36" s="125"/>
      <c r="AM36" s="79"/>
      <c r="AN36" s="107"/>
      <c r="AO36" s="107"/>
      <c r="AP36" s="107"/>
      <c r="AQ36" s="126"/>
      <c r="AR36" s="61"/>
      <c r="AS36" s="108"/>
      <c r="AT36" s="61"/>
      <c r="AU36" s="61"/>
      <c r="AV36" s="78"/>
      <c r="AW36" s="78"/>
      <c r="AX36" s="126"/>
      <c r="AY36" s="61"/>
      <c r="AZ36" s="109"/>
      <c r="BA36" s="127"/>
      <c r="BB36" s="79"/>
      <c r="BC36" s="110"/>
      <c r="BD36" s="59"/>
    </row>
    <row r="37" spans="1:57" s="128" customFormat="1" ht="15.95" customHeight="1" x14ac:dyDescent="0.2">
      <c r="A37" s="101"/>
      <c r="B37" s="112"/>
      <c r="C37" s="267"/>
      <c r="D37" s="61"/>
      <c r="E37" s="61"/>
      <c r="F37" s="107"/>
      <c r="G37" s="61"/>
      <c r="H37" s="268"/>
      <c r="I37" s="115"/>
      <c r="J37" s="116"/>
      <c r="K37" s="61"/>
      <c r="L37" s="117"/>
      <c r="M37" s="61"/>
      <c r="N37" s="117"/>
      <c r="O37" s="117"/>
      <c r="P37" s="118"/>
      <c r="Q37" s="118"/>
      <c r="R37" s="119"/>
      <c r="S37" s="120"/>
      <c r="T37" s="121"/>
      <c r="U37" s="62"/>
      <c r="V37" s="62"/>
      <c r="W37" s="107"/>
      <c r="X37" s="91"/>
      <c r="Y37" s="91"/>
      <c r="Z37" s="122"/>
      <c r="AA37" s="123"/>
      <c r="AB37" s="124"/>
      <c r="AC37" s="61"/>
      <c r="AD37" s="61"/>
      <c r="AE37" s="61"/>
      <c r="AF37" s="107"/>
      <c r="AG37" s="125"/>
      <c r="AH37" s="57"/>
      <c r="AI37" s="79"/>
      <c r="AJ37" s="107"/>
      <c r="AK37" s="107"/>
      <c r="AL37" s="125"/>
      <c r="AM37" s="79"/>
      <c r="AN37" s="107"/>
      <c r="AO37" s="107"/>
      <c r="AP37" s="107"/>
      <c r="AQ37" s="126"/>
      <c r="AR37" s="61"/>
      <c r="AS37" s="111"/>
      <c r="AT37" s="61"/>
      <c r="AU37" s="61"/>
      <c r="AV37" s="78"/>
      <c r="AW37" s="78"/>
      <c r="AX37" s="126"/>
      <c r="AY37" s="61"/>
      <c r="AZ37" s="109"/>
      <c r="BA37" s="127"/>
      <c r="BB37" s="79"/>
      <c r="BC37" s="110"/>
      <c r="BD37" s="59"/>
    </row>
    <row r="38" spans="1:57" s="128" customFormat="1" ht="15.95" customHeight="1" x14ac:dyDescent="0.2">
      <c r="A38" s="101"/>
      <c r="B38" s="112"/>
      <c r="C38" s="267"/>
      <c r="D38" s="61"/>
      <c r="E38" s="61"/>
      <c r="F38" s="107"/>
      <c r="G38" s="61"/>
      <c r="H38" s="268"/>
      <c r="I38" s="115"/>
      <c r="J38" s="116"/>
      <c r="K38" s="61"/>
      <c r="L38" s="117"/>
      <c r="M38" s="61"/>
      <c r="N38" s="117"/>
      <c r="O38" s="117"/>
      <c r="P38" s="118"/>
      <c r="Q38" s="118"/>
      <c r="R38" s="119"/>
      <c r="S38" s="120"/>
      <c r="T38" s="121"/>
      <c r="U38" s="62"/>
      <c r="V38" s="62"/>
      <c r="W38" s="107"/>
      <c r="X38" s="91"/>
      <c r="Y38" s="91"/>
      <c r="Z38" s="122"/>
      <c r="AA38" s="123"/>
      <c r="AB38" s="124"/>
      <c r="AC38" s="61"/>
      <c r="AD38" s="61"/>
      <c r="AE38" s="61"/>
      <c r="AF38" s="107"/>
      <c r="AG38" s="125"/>
      <c r="AH38" s="57"/>
      <c r="AI38" s="79"/>
      <c r="AJ38" s="107"/>
      <c r="AK38" s="107"/>
      <c r="AL38" s="125"/>
      <c r="AM38" s="79"/>
      <c r="AN38" s="107"/>
      <c r="AO38" s="107"/>
      <c r="AP38" s="107"/>
      <c r="AQ38" s="126"/>
      <c r="AR38" s="61"/>
      <c r="AS38" s="111" t="s">
        <v>3</v>
      </c>
      <c r="AT38" s="61"/>
      <c r="AU38" s="61"/>
      <c r="AV38" s="78"/>
      <c r="AW38" s="78"/>
      <c r="AX38" s="126"/>
      <c r="AY38" s="61"/>
      <c r="AZ38" s="109"/>
      <c r="BA38" s="127"/>
      <c r="BB38" s="79"/>
      <c r="BC38" s="110"/>
      <c r="BD38" s="59"/>
    </row>
    <row r="39" spans="1:57" s="86" customFormat="1" ht="15.95" customHeight="1" thickBot="1" x14ac:dyDescent="0.25">
      <c r="A39" s="101" t="s">
        <v>76</v>
      </c>
      <c r="B39" s="112">
        <f>SUM(B16:B38)</f>
        <v>8</v>
      </c>
      <c r="C39" s="132"/>
      <c r="D39" s="133"/>
      <c r="E39" s="134"/>
      <c r="F39" s="135"/>
      <c r="G39" s="136"/>
      <c r="H39" s="137"/>
      <c r="I39" s="112"/>
      <c r="J39" s="138"/>
      <c r="K39" s="139"/>
      <c r="L39" s="140"/>
      <c r="M39" s="139"/>
      <c r="N39" s="140"/>
      <c r="O39" s="140"/>
      <c r="P39" s="141">
        <f>SUM(P2:P16)</f>
        <v>9.6479999999999997</v>
      </c>
      <c r="Q39" s="141">
        <f>SUM(Q16:Q22)</f>
        <v>58.828559999999996</v>
      </c>
      <c r="R39" s="141">
        <f>SUM(R16:R22)</f>
        <v>176.15976000000001</v>
      </c>
      <c r="S39" s="65"/>
      <c r="T39" s="142"/>
      <c r="U39" s="143"/>
      <c r="V39" s="143"/>
      <c r="W39" s="143"/>
      <c r="X39" s="144"/>
      <c r="Y39" s="144"/>
      <c r="Z39" s="145"/>
      <c r="AA39" s="93"/>
      <c r="AB39" s="146"/>
      <c r="AC39" s="147"/>
      <c r="AD39" s="147"/>
      <c r="AE39" s="147"/>
      <c r="AF39" s="148"/>
      <c r="AG39" s="149"/>
      <c r="AH39" s="149"/>
      <c r="AI39" s="150"/>
      <c r="AJ39" s="148"/>
      <c r="AK39" s="148"/>
      <c r="AL39" s="149"/>
      <c r="AM39" s="150"/>
      <c r="AN39" s="148"/>
      <c r="AO39" s="148"/>
      <c r="AP39" s="148"/>
      <c r="AQ39" s="151"/>
      <c r="AR39" s="57"/>
      <c r="AS39" s="152"/>
      <c r="AT39" s="153"/>
      <c r="AU39" s="153"/>
      <c r="AV39" s="153"/>
      <c r="AW39" s="153"/>
      <c r="AX39" s="151"/>
      <c r="AY39" s="57"/>
      <c r="AZ39" s="154"/>
      <c r="BA39" s="155">
        <f>SUM(BA16:BA37)</f>
        <v>328.96668749999998</v>
      </c>
      <c r="BB39" s="156" t="e">
        <f>SUM(BB16:BB37)</f>
        <v>#DIV/0!</v>
      </c>
      <c r="BC39" s="157" t="e">
        <f>SUM(BC16:BC37)</f>
        <v>#DIV/0!</v>
      </c>
      <c r="BD39" s="158"/>
    </row>
    <row r="40" spans="1:57" s="86" customFormat="1" ht="15.95" customHeight="1" thickTop="1" x14ac:dyDescent="0.2">
      <c r="A40" s="114"/>
      <c r="B40" s="159"/>
      <c r="C40" s="114"/>
      <c r="D40" s="113"/>
      <c r="E40" s="114"/>
      <c r="F40" s="107"/>
      <c r="G40" s="61"/>
      <c r="H40" s="114"/>
      <c r="I40" s="112"/>
      <c r="J40" s="61"/>
      <c r="K40" s="61"/>
      <c r="L40" s="117"/>
      <c r="M40" s="61"/>
      <c r="N40" s="117"/>
      <c r="O40" s="89"/>
      <c r="P40" s="118"/>
      <c r="Q40" s="118"/>
      <c r="R40" s="79"/>
      <c r="S40" s="65"/>
      <c r="T40" s="117"/>
      <c r="U40" s="107"/>
      <c r="V40" s="107"/>
      <c r="W40" s="107"/>
      <c r="X40" s="91"/>
      <c r="Y40" s="91"/>
      <c r="Z40" s="79"/>
      <c r="AA40" s="93"/>
      <c r="AB40" s="160"/>
      <c r="AC40" s="61"/>
      <c r="AD40" s="61"/>
      <c r="AE40" s="61"/>
      <c r="AF40" s="107"/>
      <c r="AG40" s="125"/>
      <c r="AH40" s="106"/>
      <c r="AI40" s="83" t="s">
        <v>156</v>
      </c>
      <c r="AJ40" s="62"/>
      <c r="AK40" s="62"/>
      <c r="AL40" s="106"/>
      <c r="AM40" s="83"/>
      <c r="AN40" s="62"/>
      <c r="AO40" s="62"/>
      <c r="AP40" s="62"/>
      <c r="AQ40" s="57"/>
      <c r="AR40" s="57"/>
      <c r="AS40" s="57" t="s">
        <v>156</v>
      </c>
      <c r="AT40" s="57"/>
      <c r="AU40" s="57"/>
      <c r="AV40" s="57"/>
      <c r="AW40" s="57"/>
      <c r="AX40" s="57"/>
      <c r="AY40" s="57"/>
      <c r="AZ40" s="154"/>
      <c r="BA40" s="62"/>
      <c r="BB40" s="83"/>
      <c r="BC40" s="106"/>
      <c r="BD40" s="57"/>
    </row>
    <row r="41" spans="1:57" ht="23.25" x14ac:dyDescent="0.35">
      <c r="C41" s="161"/>
      <c r="D41" s="162"/>
      <c r="E41" s="161"/>
      <c r="F41" s="163"/>
      <c r="G41" s="164"/>
      <c r="L41" s="165"/>
      <c r="M41" s="165"/>
      <c r="N41" s="166"/>
      <c r="O41" s="166"/>
      <c r="P41" s="167"/>
      <c r="Q41" s="168" t="s">
        <v>77</v>
      </c>
      <c r="R41" s="169">
        <f>SUM(R16:R26)</f>
        <v>176.15976000000001</v>
      </c>
      <c r="X41" s="170"/>
      <c r="Y41" s="171" t="s">
        <v>78</v>
      </c>
      <c r="Z41" s="172">
        <f>SUM(Z16:Z39)</f>
        <v>306.96668749999998</v>
      </c>
      <c r="AA41" s="173" t="s">
        <v>79</v>
      </c>
      <c r="AC41" s="174"/>
      <c r="AD41" s="165"/>
      <c r="AE41" s="165"/>
      <c r="AF41" s="175"/>
      <c r="AG41" s="176"/>
      <c r="AH41" s="177" t="s">
        <v>80</v>
      </c>
      <c r="AI41" s="178">
        <f>SUM(AI16:AI38) + T60*4</f>
        <v>211.77003565626239</v>
      </c>
      <c r="AJ41" s="179"/>
      <c r="AK41" s="179"/>
      <c r="AL41" s="39"/>
      <c r="AM41" s="176"/>
      <c r="AN41" s="176"/>
      <c r="AO41" s="176"/>
      <c r="AP41" s="176"/>
      <c r="AQ41" s="176"/>
      <c r="AR41" s="177" t="s">
        <v>81</v>
      </c>
      <c r="AS41" s="178">
        <f>SUM(AS16:AS40)</f>
        <v>12.399999999999991</v>
      </c>
      <c r="AT41" s="165"/>
      <c r="AU41" s="165"/>
      <c r="AV41" s="180"/>
      <c r="AW41" s="180"/>
      <c r="AX41" s="180"/>
      <c r="AY41" s="180"/>
      <c r="BA41" s="181"/>
      <c r="BB41" s="182"/>
      <c r="BD41" s="183"/>
    </row>
    <row r="42" spans="1:57" ht="23.25" x14ac:dyDescent="0.35">
      <c r="C42" s="161"/>
      <c r="D42" s="162"/>
      <c r="E42" s="161"/>
      <c r="F42" s="163"/>
      <c r="G42" s="164"/>
      <c r="AF42" s="184"/>
      <c r="AG42" s="165"/>
      <c r="AH42" s="165"/>
      <c r="AI42" s="185" t="s">
        <v>3</v>
      </c>
      <c r="AJ42" s="175" t="s">
        <v>82</v>
      </c>
      <c r="AK42" s="175" t="s">
        <v>83</v>
      </c>
      <c r="AL42" s="186"/>
      <c r="AM42" s="187"/>
      <c r="AN42" s="187"/>
      <c r="AV42" s="85"/>
      <c r="AW42" s="85"/>
      <c r="AX42" s="8"/>
      <c r="AY42" s="8"/>
      <c r="BA42" s="188" t="s">
        <v>84</v>
      </c>
      <c r="BB42" s="189">
        <f>R41+AI41+AM46 + AS41+AV44</f>
        <v>408.32979565626238</v>
      </c>
      <c r="BC42" s="282" t="s">
        <v>158</v>
      </c>
      <c r="BD42" s="190"/>
    </row>
    <row r="43" spans="1:57" ht="23.25" x14ac:dyDescent="0.35">
      <c r="C43" s="161"/>
      <c r="D43" s="37"/>
      <c r="E43" s="161"/>
      <c r="F43" s="191" t="s">
        <v>85</v>
      </c>
      <c r="G43" s="164"/>
      <c r="AF43" s="184"/>
      <c r="AG43" s="165"/>
      <c r="AH43" s="165"/>
      <c r="AI43" s="192" t="s">
        <v>86</v>
      </c>
      <c r="AJ43" s="175">
        <f>SUM(AJ16:AJ39)</f>
        <v>737.30360723121805</v>
      </c>
      <c r="AK43" s="175">
        <f>SUM(AK16:AK39)</f>
        <v>159.5979797464467</v>
      </c>
      <c r="AL43" s="186"/>
      <c r="AM43" s="172"/>
      <c r="AN43" s="181"/>
      <c r="AO43" s="181"/>
      <c r="AP43" s="181"/>
      <c r="AX43" s="190"/>
      <c r="AY43" s="190"/>
      <c r="BA43" s="188" t="s">
        <v>87</v>
      </c>
      <c r="BB43" s="193" t="s">
        <v>82</v>
      </c>
      <c r="BC43" s="193" t="s">
        <v>88</v>
      </c>
      <c r="BD43" s="193" t="s">
        <v>89</v>
      </c>
    </row>
    <row r="44" spans="1:57" ht="27.75" x14ac:dyDescent="0.4">
      <c r="C44" s="161"/>
      <c r="D44" s="194"/>
      <c r="E44" s="195" t="s">
        <v>90</v>
      </c>
      <c r="F44" s="196" t="s">
        <v>161</v>
      </c>
      <c r="G44" s="164"/>
      <c r="AF44" s="184"/>
      <c r="AG44" s="165"/>
      <c r="AH44" s="165"/>
      <c r="AI44" s="197" t="s">
        <v>91</v>
      </c>
      <c r="AJ44" s="178">
        <f>AJ43/160</f>
        <v>4.6081475451951128</v>
      </c>
      <c r="AK44" s="178">
        <f>AK43/160</f>
        <v>0.99748737341529181</v>
      </c>
      <c r="AL44" s="186"/>
      <c r="AM44" s="172"/>
      <c r="AN44" s="181"/>
      <c r="AO44" s="176"/>
      <c r="AP44" s="176"/>
      <c r="AQ44" s="176"/>
      <c r="AR44" s="176"/>
      <c r="AS44" s="198"/>
      <c r="AT44" s="165"/>
      <c r="AU44" s="177" t="s">
        <v>92</v>
      </c>
      <c r="AV44" s="178">
        <f>SUM(AU16:AU41)</f>
        <v>0</v>
      </c>
      <c r="AX44" s="8"/>
      <c r="AY44" s="8"/>
      <c r="BA44" s="199" t="s">
        <v>157</v>
      </c>
      <c r="BB44" s="200">
        <f>AJ43+AN48+AV48</f>
        <v>801.30360723121805</v>
      </c>
      <c r="BC44" s="201">
        <f>AK43+AO48+AW48</f>
        <v>207.5979797464467</v>
      </c>
      <c r="BD44" s="201">
        <f>AP48</f>
        <v>120</v>
      </c>
    </row>
    <row r="45" spans="1:57" ht="16.5" thickBot="1" x14ac:dyDescent="0.3">
      <c r="C45" s="161"/>
      <c r="D45" s="162"/>
      <c r="E45" s="202"/>
      <c r="F45" s="5"/>
      <c r="G45" s="164"/>
      <c r="AF45" s="203"/>
      <c r="AG45" s="187"/>
      <c r="AH45" s="187"/>
      <c r="AI45" s="204"/>
      <c r="AJ45" s="203"/>
      <c r="AK45" s="203"/>
      <c r="AL45" s="186"/>
      <c r="AM45" s="172"/>
      <c r="AN45" s="181"/>
      <c r="AO45" s="181"/>
      <c r="AP45" s="181"/>
      <c r="BA45" s="205"/>
      <c r="BB45" s="206"/>
      <c r="BC45" s="206"/>
      <c r="BD45" s="206"/>
    </row>
    <row r="46" spans="1:57" ht="30" x14ac:dyDescent="0.4">
      <c r="C46" s="161"/>
      <c r="D46" s="162"/>
      <c r="E46" s="195" t="s">
        <v>90</v>
      </c>
      <c r="F46" s="207" t="s">
        <v>165</v>
      </c>
      <c r="G46" s="164"/>
      <c r="AF46" s="175"/>
      <c r="AG46" s="165"/>
      <c r="AH46" s="165"/>
      <c r="AI46" s="178"/>
      <c r="AJ46" s="175"/>
      <c r="AK46" s="175"/>
      <c r="AL46" s="177" t="s">
        <v>93</v>
      </c>
      <c r="AM46" s="178">
        <f>SUM(AM16:AM39)</f>
        <v>8</v>
      </c>
      <c r="AN46" s="181"/>
      <c r="AO46" s="181"/>
      <c r="AP46" s="181"/>
      <c r="AZ46" s="311" t="s">
        <v>159</v>
      </c>
      <c r="BA46" s="312"/>
      <c r="BB46" s="269">
        <f>BB42*1.16</f>
        <v>473.66256296126431</v>
      </c>
      <c r="BC46" s="270"/>
      <c r="BD46" s="271"/>
      <c r="BE46" s="272"/>
    </row>
    <row r="47" spans="1:57" ht="18.75" x14ac:dyDescent="0.3">
      <c r="C47" s="161"/>
      <c r="D47" s="162"/>
      <c r="E47" s="202"/>
      <c r="F47" s="163"/>
      <c r="G47" s="164"/>
      <c r="AF47" s="184"/>
      <c r="AG47" s="176"/>
      <c r="AH47" s="176"/>
      <c r="AI47" s="178"/>
      <c r="AJ47" s="175"/>
      <c r="AK47" s="175"/>
      <c r="AL47" s="165"/>
      <c r="AM47" s="178"/>
      <c r="AN47" s="175" t="s">
        <v>82</v>
      </c>
      <c r="AO47" s="175" t="s">
        <v>88</v>
      </c>
      <c r="AP47" s="175" t="s">
        <v>89</v>
      </c>
      <c r="AR47" s="187"/>
      <c r="AS47" s="187"/>
      <c r="AT47" s="187"/>
      <c r="AU47" s="187"/>
      <c r="AV47" s="165" t="s">
        <v>82</v>
      </c>
      <c r="AW47" s="165" t="s">
        <v>88</v>
      </c>
      <c r="AZ47" s="313" t="s">
        <v>160</v>
      </c>
      <c r="BA47" s="314"/>
      <c r="BB47" s="273"/>
      <c r="BC47" s="273"/>
      <c r="BD47" s="274"/>
      <c r="BE47" s="275"/>
    </row>
    <row r="48" spans="1:57" ht="28.5" thickBot="1" x14ac:dyDescent="0.45">
      <c r="C48" s="161"/>
      <c r="D48" s="37"/>
      <c r="E48" s="195" t="s">
        <v>90</v>
      </c>
      <c r="F48" s="208" t="s">
        <v>94</v>
      </c>
      <c r="G48" s="164"/>
      <c r="AF48" s="203"/>
      <c r="AG48" s="187"/>
      <c r="AH48" s="176"/>
      <c r="AI48" s="178"/>
      <c r="AJ48" s="175"/>
      <c r="AK48" s="175"/>
      <c r="AL48" s="165"/>
      <c r="AM48" s="192" t="s">
        <v>95</v>
      </c>
      <c r="AN48" s="175">
        <f>SUM(AN16:AN39)</f>
        <v>64</v>
      </c>
      <c r="AO48" s="175">
        <f>SUM(AO16:AO39)</f>
        <v>48</v>
      </c>
      <c r="AP48" s="175">
        <f>SUM(AP16:AP39)</f>
        <v>120</v>
      </c>
      <c r="AR48" s="176"/>
      <c r="AS48" s="176"/>
      <c r="AT48" s="176"/>
      <c r="AU48" s="177" t="s">
        <v>96</v>
      </c>
      <c r="AV48" s="165">
        <f>SUM(AV16:AV39)</f>
        <v>0</v>
      </c>
      <c r="AW48" s="165">
        <f>SUM(AW16:AW39)</f>
        <v>0</v>
      </c>
      <c r="AZ48" s="276"/>
      <c r="BA48" s="277"/>
      <c r="BB48" s="278"/>
      <c r="BC48" s="279"/>
      <c r="BD48" s="280"/>
      <c r="BE48" s="281"/>
    </row>
    <row r="49" spans="4:54" ht="18.75" x14ac:dyDescent="0.3">
      <c r="E49" s="9"/>
      <c r="AF49" s="203"/>
      <c r="AG49" s="187"/>
      <c r="AH49" s="176"/>
      <c r="AI49" s="178"/>
      <c r="AJ49" s="175"/>
      <c r="AK49" s="175"/>
      <c r="AL49" s="165"/>
      <c r="AM49" s="209" t="s">
        <v>91</v>
      </c>
      <c r="AN49" s="178">
        <f>AN48/160</f>
        <v>0.4</v>
      </c>
      <c r="AO49" s="178">
        <f>AO48/160</f>
        <v>0.3</v>
      </c>
      <c r="AP49" s="178">
        <f>AP48/160</f>
        <v>0.75</v>
      </c>
      <c r="AR49" s="176"/>
      <c r="AS49" s="176"/>
      <c r="AT49" s="176"/>
      <c r="AU49" s="209" t="s">
        <v>91</v>
      </c>
      <c r="AV49" s="178">
        <f>AV48/160</f>
        <v>0</v>
      </c>
      <c r="AW49" s="178">
        <f>AW48/160</f>
        <v>0</v>
      </c>
    </row>
    <row r="50" spans="4:54" ht="18.75" x14ac:dyDescent="0.2">
      <c r="E50" s="9"/>
      <c r="AB50" s="210"/>
      <c r="AC50" s="211"/>
      <c r="AD50" s="211"/>
      <c r="AE50" s="211"/>
      <c r="AF50" s="210"/>
      <c r="AG50" s="211"/>
      <c r="AH50" s="212"/>
      <c r="AI50" s="213"/>
      <c r="AJ50" s="181"/>
      <c r="AK50" s="181"/>
      <c r="AL50" s="186"/>
      <c r="AM50" s="172"/>
      <c r="AN50" s="181"/>
      <c r="AO50" s="181"/>
      <c r="AP50" s="181"/>
    </row>
    <row r="51" spans="4:54" ht="30" x14ac:dyDescent="0.4">
      <c r="AZ51" s="214"/>
    </row>
    <row r="52" spans="4:54" ht="18" x14ac:dyDescent="0.25">
      <c r="D52" s="215" t="s">
        <v>97</v>
      </c>
      <c r="E52" s="216"/>
      <c r="F52" s="217"/>
      <c r="H52" s="218"/>
      <c r="I52" s="218"/>
      <c r="J52" s="219"/>
      <c r="K52" s="220" t="s">
        <v>98</v>
      </c>
      <c r="L52" s="221"/>
      <c r="M52" s="221"/>
      <c r="N52" s="218"/>
      <c r="O52" s="218"/>
      <c r="P52" s="218"/>
      <c r="R52" s="222"/>
      <c r="S52" s="223" t="s">
        <v>99</v>
      </c>
      <c r="T52" s="224"/>
      <c r="U52" s="225"/>
      <c r="V52" s="225"/>
      <c r="W52" s="225"/>
      <c r="X52" s="225"/>
      <c r="Y52" s="225"/>
      <c r="AA52" s="226"/>
      <c r="AB52" s="227" t="s">
        <v>100</v>
      </c>
      <c r="AC52" s="228"/>
      <c r="AD52" s="228"/>
      <c r="AE52" s="228"/>
      <c r="AF52" s="228"/>
      <c r="AG52" s="228"/>
      <c r="AH52" s="228"/>
      <c r="AI52" s="229"/>
      <c r="AK52" s="223" t="s">
        <v>101</v>
      </c>
      <c r="AL52" s="230"/>
      <c r="AM52" s="224"/>
      <c r="AN52" s="230"/>
      <c r="AO52" s="230"/>
      <c r="AP52" s="230"/>
      <c r="AQ52" s="230"/>
      <c r="AR52" s="230"/>
      <c r="AS52" s="230"/>
      <c r="AT52" s="231"/>
      <c r="AU52" s="231"/>
      <c r="AV52" s="231"/>
      <c r="AW52" s="231"/>
      <c r="AX52" s="231"/>
      <c r="AY52" s="231"/>
      <c r="AZ52" s="232"/>
      <c r="BA52" s="231"/>
      <c r="BB52" s="2"/>
    </row>
    <row r="53" spans="4:54" ht="15" x14ac:dyDescent="0.25">
      <c r="D53" s="233" t="s">
        <v>102</v>
      </c>
      <c r="E53" s="233" t="s">
        <v>103</v>
      </c>
      <c r="F53" s="234" t="s">
        <v>79</v>
      </c>
      <c r="H53" s="218"/>
      <c r="I53" s="235" t="s">
        <v>104</v>
      </c>
      <c r="J53" s="236"/>
      <c r="K53" s="237"/>
      <c r="L53" s="237"/>
      <c r="M53" s="237"/>
      <c r="N53" s="238"/>
      <c r="O53" s="238"/>
      <c r="P53" s="238"/>
      <c r="R53" s="222"/>
      <c r="S53" s="239" t="s">
        <v>105</v>
      </c>
      <c r="T53" s="224">
        <v>1.3</v>
      </c>
      <c r="U53" s="225">
        <v>1</v>
      </c>
      <c r="V53" s="225">
        <f>U53*T53</f>
        <v>1.3</v>
      </c>
      <c r="W53" s="225">
        <v>2018</v>
      </c>
      <c r="X53" s="225"/>
      <c r="Y53" s="225"/>
      <c r="AA53" s="226"/>
      <c r="AB53" s="240" t="s">
        <v>106</v>
      </c>
      <c r="AC53" s="228">
        <v>0.3</v>
      </c>
      <c r="AD53" s="228">
        <v>1</v>
      </c>
      <c r="AE53" s="228">
        <f t="shared" ref="AE53:AE61" si="48">AD53*AC53</f>
        <v>0.3</v>
      </c>
      <c r="AF53" s="228">
        <v>2018</v>
      </c>
      <c r="AG53" s="228"/>
      <c r="AH53" s="228"/>
      <c r="AI53" s="229"/>
      <c r="AK53" s="241"/>
      <c r="AL53" s="230"/>
      <c r="AM53" s="239" t="s">
        <v>107</v>
      </c>
      <c r="AN53" s="224">
        <v>1.6</v>
      </c>
      <c r="AO53" s="224">
        <v>1</v>
      </c>
      <c r="AP53" s="224">
        <f t="shared" ref="AP53:AP61" si="49">AO53*AN53</f>
        <v>1.6</v>
      </c>
      <c r="AQ53" s="224">
        <v>2018</v>
      </c>
      <c r="AR53" s="224"/>
      <c r="AS53" s="224"/>
      <c r="AT53" s="231"/>
      <c r="AU53" s="231"/>
      <c r="AV53" s="231"/>
      <c r="AW53" s="231"/>
      <c r="AX53" s="231"/>
      <c r="AY53" s="231"/>
      <c r="AZ53" s="242"/>
      <c r="BA53" s="231"/>
      <c r="BB53" s="2"/>
    </row>
    <row r="54" spans="4:54" ht="15" x14ac:dyDescent="0.25">
      <c r="D54" s="243" t="s">
        <v>108</v>
      </c>
      <c r="E54" s="216"/>
      <c r="F54" s="217"/>
      <c r="H54" s="218"/>
      <c r="I54" s="218"/>
      <c r="J54" s="244" t="s">
        <v>109</v>
      </c>
      <c r="K54" s="237" t="s">
        <v>110</v>
      </c>
      <c r="L54" s="237" t="s">
        <v>52</v>
      </c>
      <c r="M54" s="237" t="s">
        <v>111</v>
      </c>
      <c r="N54" s="238" t="s">
        <v>112</v>
      </c>
      <c r="O54" s="238"/>
      <c r="P54" s="238" t="s">
        <v>14</v>
      </c>
      <c r="R54" s="222"/>
      <c r="S54" s="239" t="s">
        <v>113</v>
      </c>
      <c r="T54" s="224">
        <v>0</v>
      </c>
      <c r="U54" s="225">
        <v>0</v>
      </c>
      <c r="V54" s="225">
        <f>U54*T54</f>
        <v>0</v>
      </c>
      <c r="W54" s="225" t="s">
        <v>114</v>
      </c>
      <c r="X54" s="225"/>
      <c r="Y54" s="225"/>
      <c r="AA54" s="226"/>
      <c r="AB54" s="240" t="s">
        <v>115</v>
      </c>
      <c r="AC54" s="228">
        <v>0.2</v>
      </c>
      <c r="AD54" s="228">
        <v>1</v>
      </c>
      <c r="AE54" s="228">
        <f t="shared" si="48"/>
        <v>0.2</v>
      </c>
      <c r="AF54" s="228">
        <v>2018</v>
      </c>
      <c r="AG54" s="228"/>
      <c r="AH54" s="228"/>
      <c r="AI54" s="229"/>
      <c r="AK54" s="241"/>
      <c r="AL54" s="230"/>
      <c r="AM54" s="239" t="s">
        <v>115</v>
      </c>
      <c r="AN54" s="224">
        <v>0.2</v>
      </c>
      <c r="AO54" s="224">
        <v>1</v>
      </c>
      <c r="AP54" s="224">
        <f t="shared" si="49"/>
        <v>0.2</v>
      </c>
      <c r="AQ54" s="224">
        <v>2018</v>
      </c>
      <c r="AR54" s="224"/>
      <c r="AS54" s="224"/>
      <c r="AT54" s="231"/>
      <c r="AU54" s="231"/>
      <c r="AV54" s="231"/>
      <c r="AW54" s="231"/>
      <c r="AX54" s="231"/>
      <c r="AY54" s="231"/>
      <c r="AZ54" s="242"/>
      <c r="BA54" s="231"/>
      <c r="BB54" s="2"/>
    </row>
    <row r="55" spans="4:54" ht="15" x14ac:dyDescent="0.25">
      <c r="D55" s="245" t="s">
        <v>116</v>
      </c>
      <c r="E55" s="216">
        <v>4</v>
      </c>
      <c r="F55" s="217">
        <v>10</v>
      </c>
      <c r="H55" s="218"/>
      <c r="I55" s="218"/>
      <c r="J55" s="236"/>
      <c r="K55" s="237"/>
      <c r="L55" s="237"/>
      <c r="M55" s="237" t="s">
        <v>69</v>
      </c>
      <c r="N55" s="238" t="s">
        <v>103</v>
      </c>
      <c r="O55" s="238"/>
      <c r="P55" s="238"/>
      <c r="R55" s="222"/>
      <c r="S55" s="239" t="s">
        <v>117</v>
      </c>
      <c r="T55" s="224">
        <v>0</v>
      </c>
      <c r="U55" s="225">
        <v>0</v>
      </c>
      <c r="V55" s="225">
        <f>U55*T55</f>
        <v>0</v>
      </c>
      <c r="W55" s="225" t="s">
        <v>114</v>
      </c>
      <c r="X55" s="225"/>
      <c r="Y55" s="225"/>
      <c r="AA55" s="226"/>
      <c r="AB55" s="240" t="s">
        <v>118</v>
      </c>
      <c r="AC55" s="228">
        <v>0.4</v>
      </c>
      <c r="AD55" s="228">
        <v>1</v>
      </c>
      <c r="AE55" s="228">
        <f t="shared" si="48"/>
        <v>0.4</v>
      </c>
      <c r="AF55" s="228">
        <v>2018</v>
      </c>
      <c r="AG55" s="228"/>
      <c r="AH55" s="228"/>
      <c r="AI55" s="229"/>
      <c r="AK55" s="241"/>
      <c r="AL55" s="230"/>
      <c r="AM55" s="239" t="s">
        <v>118</v>
      </c>
      <c r="AN55" s="224">
        <v>0.5</v>
      </c>
      <c r="AO55" s="224">
        <v>1</v>
      </c>
      <c r="AP55" s="224">
        <f t="shared" si="49"/>
        <v>0.5</v>
      </c>
      <c r="AQ55" s="224">
        <v>2018</v>
      </c>
      <c r="AR55" s="224"/>
      <c r="AS55" s="224"/>
      <c r="AT55" s="231"/>
      <c r="AU55" s="231"/>
      <c r="AV55" s="231"/>
      <c r="AW55" s="231"/>
      <c r="AX55" s="231"/>
      <c r="AY55" s="231"/>
      <c r="AZ55" s="242"/>
      <c r="BA55" s="231"/>
      <c r="BB55" s="2"/>
    </row>
    <row r="56" spans="4:54" ht="15" x14ac:dyDescent="0.25">
      <c r="D56" s="243" t="s">
        <v>119</v>
      </c>
      <c r="E56" s="216">
        <v>5</v>
      </c>
      <c r="F56" s="217">
        <v>22</v>
      </c>
      <c r="H56" s="218"/>
      <c r="I56" s="299"/>
      <c r="J56" s="300" t="s">
        <v>120</v>
      </c>
      <c r="K56" s="301">
        <v>20</v>
      </c>
      <c r="L56" s="301">
        <v>1000</v>
      </c>
      <c r="M56" s="301">
        <f t="shared" ref="M56:M61" si="50">K56*L56/1000</f>
        <v>20</v>
      </c>
      <c r="N56" s="302">
        <v>11.8</v>
      </c>
      <c r="O56" s="303"/>
      <c r="P56" s="303">
        <f t="shared" ref="P56:P61" si="51">N56/M56</f>
        <v>0.59000000000000008</v>
      </c>
      <c r="R56" s="222"/>
      <c r="S56" s="224"/>
      <c r="T56" s="224"/>
      <c r="U56" s="225" t="s">
        <v>121</v>
      </c>
      <c r="V56" s="225"/>
      <c r="W56" s="225">
        <f>SUM(V53:V55)</f>
        <v>1.3</v>
      </c>
      <c r="X56" s="225" t="s">
        <v>122</v>
      </c>
      <c r="Y56" s="225"/>
      <c r="AA56" s="226"/>
      <c r="AB56" s="240" t="s">
        <v>123</v>
      </c>
      <c r="AC56" s="228">
        <v>1</v>
      </c>
      <c r="AD56" s="228">
        <v>1</v>
      </c>
      <c r="AE56" s="228">
        <f t="shared" si="48"/>
        <v>1</v>
      </c>
      <c r="AF56" s="228">
        <v>2018</v>
      </c>
      <c r="AG56" s="228"/>
      <c r="AH56" s="228"/>
      <c r="AI56" s="229"/>
      <c r="AK56" s="241"/>
      <c r="AL56" s="230"/>
      <c r="AM56" s="239" t="s">
        <v>123</v>
      </c>
      <c r="AN56" s="224">
        <v>1</v>
      </c>
      <c r="AO56" s="224">
        <v>1</v>
      </c>
      <c r="AP56" s="224">
        <f t="shared" si="49"/>
        <v>1</v>
      </c>
      <c r="AQ56" s="224">
        <v>2018</v>
      </c>
      <c r="AR56" s="224"/>
      <c r="AS56" s="224"/>
      <c r="AT56" s="231"/>
      <c r="AU56" s="231"/>
      <c r="AV56" s="231"/>
      <c r="AW56" s="231"/>
      <c r="AX56" s="231"/>
      <c r="AY56" s="231"/>
      <c r="AZ56" s="242"/>
      <c r="BA56" s="231"/>
      <c r="BB56" s="2"/>
    </row>
    <row r="57" spans="4:54" ht="15" x14ac:dyDescent="0.25">
      <c r="D57" s="216"/>
      <c r="E57" s="216"/>
      <c r="F57" s="217"/>
      <c r="H57" s="218"/>
      <c r="I57" s="299"/>
      <c r="J57" s="300" t="s">
        <v>120</v>
      </c>
      <c r="K57" s="301">
        <v>32</v>
      </c>
      <c r="L57" s="301">
        <v>750</v>
      </c>
      <c r="M57" s="301">
        <f t="shared" si="50"/>
        <v>24</v>
      </c>
      <c r="N57" s="302">
        <v>14</v>
      </c>
      <c r="O57" s="303"/>
      <c r="P57" s="303">
        <f t="shared" si="51"/>
        <v>0.58333333333333337</v>
      </c>
      <c r="R57" s="222"/>
      <c r="S57" s="224"/>
      <c r="T57" s="224"/>
      <c r="U57" s="225"/>
      <c r="V57" s="225"/>
      <c r="W57" s="225"/>
      <c r="X57" s="225"/>
      <c r="Y57" s="225"/>
      <c r="AA57" s="226"/>
      <c r="AB57" s="240" t="s">
        <v>124</v>
      </c>
      <c r="AC57" s="228">
        <v>1.4</v>
      </c>
      <c r="AD57" s="228">
        <v>1</v>
      </c>
      <c r="AE57" s="228">
        <f t="shared" si="48"/>
        <v>1.4</v>
      </c>
      <c r="AF57" s="228">
        <v>2018</v>
      </c>
      <c r="AG57" s="228"/>
      <c r="AH57" s="228"/>
      <c r="AI57" s="229"/>
      <c r="AK57" s="241"/>
      <c r="AL57" s="230"/>
      <c r="AM57" s="239" t="s">
        <v>124</v>
      </c>
      <c r="AN57" s="224">
        <v>1.4</v>
      </c>
      <c r="AO57" s="224">
        <v>1</v>
      </c>
      <c r="AP57" s="224">
        <f t="shared" si="49"/>
        <v>1.4</v>
      </c>
      <c r="AQ57" s="224">
        <v>2018</v>
      </c>
      <c r="AR57" s="224"/>
      <c r="AS57" s="224"/>
      <c r="AT57" s="231"/>
      <c r="AU57" s="231"/>
      <c r="AV57" s="231"/>
      <c r="AW57" s="231"/>
      <c r="AX57" s="231"/>
      <c r="AY57" s="231"/>
      <c r="AZ57" s="242"/>
      <c r="BA57" s="231"/>
      <c r="BB57" s="2"/>
    </row>
    <row r="58" spans="4:54" ht="15" x14ac:dyDescent="0.25">
      <c r="D58" s="233" t="s">
        <v>125</v>
      </c>
      <c r="E58" s="233" t="s">
        <v>82</v>
      </c>
      <c r="F58" s="217"/>
      <c r="H58" s="218"/>
      <c r="I58" s="299"/>
      <c r="J58" s="300" t="s">
        <v>120</v>
      </c>
      <c r="K58" s="301">
        <v>40</v>
      </c>
      <c r="L58" s="301">
        <v>625</v>
      </c>
      <c r="M58" s="301">
        <f t="shared" si="50"/>
        <v>25</v>
      </c>
      <c r="N58" s="302">
        <v>14</v>
      </c>
      <c r="O58" s="303"/>
      <c r="P58" s="303">
        <f t="shared" si="51"/>
        <v>0.56000000000000005</v>
      </c>
      <c r="R58" s="222"/>
      <c r="S58" s="239" t="s">
        <v>126</v>
      </c>
      <c r="T58" s="224">
        <v>1.2</v>
      </c>
      <c r="U58" s="225">
        <v>1</v>
      </c>
      <c r="V58" s="225">
        <f>U58*T58</f>
        <v>1.2</v>
      </c>
      <c r="W58" s="225">
        <v>15</v>
      </c>
      <c r="X58" s="225" t="s">
        <v>127</v>
      </c>
      <c r="Y58" s="225"/>
      <c r="AA58" s="226"/>
      <c r="AB58" s="240" t="s">
        <v>128</v>
      </c>
      <c r="AC58" s="228">
        <v>0.5</v>
      </c>
      <c r="AD58" s="228">
        <v>1</v>
      </c>
      <c r="AE58" s="228">
        <f t="shared" si="48"/>
        <v>0.5</v>
      </c>
      <c r="AF58" s="228">
        <v>2018</v>
      </c>
      <c r="AG58" s="228"/>
      <c r="AH58" s="228"/>
      <c r="AI58" s="229"/>
      <c r="AK58" s="241"/>
      <c r="AL58" s="230"/>
      <c r="AM58" s="239" t="s">
        <v>128</v>
      </c>
      <c r="AN58" s="224">
        <v>0.5</v>
      </c>
      <c r="AO58" s="224">
        <v>1</v>
      </c>
      <c r="AP58" s="224">
        <f t="shared" si="49"/>
        <v>0.5</v>
      </c>
      <c r="AQ58" s="224">
        <v>2018</v>
      </c>
      <c r="AR58" s="224"/>
      <c r="AS58" s="224"/>
      <c r="AT58" s="231"/>
      <c r="AU58" s="231"/>
      <c r="AV58" s="231"/>
      <c r="AW58" s="231"/>
      <c r="AX58" s="231"/>
      <c r="AY58" s="231"/>
      <c r="AZ58" s="242"/>
      <c r="BA58" s="231"/>
      <c r="BB58" s="2"/>
    </row>
    <row r="59" spans="4:54" ht="15" x14ac:dyDescent="0.25">
      <c r="D59" s="243" t="s">
        <v>129</v>
      </c>
      <c r="E59" s="216">
        <v>3</v>
      </c>
      <c r="F59" s="246" t="s">
        <v>130</v>
      </c>
      <c r="H59" s="218"/>
      <c r="I59" s="299"/>
      <c r="J59" s="300" t="s">
        <v>120</v>
      </c>
      <c r="K59" s="301">
        <v>40</v>
      </c>
      <c r="L59" s="301">
        <v>750</v>
      </c>
      <c r="M59" s="301">
        <f t="shared" si="50"/>
        <v>30</v>
      </c>
      <c r="N59" s="302">
        <v>16.399999999999999</v>
      </c>
      <c r="O59" s="303"/>
      <c r="P59" s="303">
        <f t="shared" si="51"/>
        <v>0.54666666666666663</v>
      </c>
      <c r="R59" s="222"/>
      <c r="S59" s="239" t="s">
        <v>131</v>
      </c>
      <c r="T59" s="224">
        <v>14</v>
      </c>
      <c r="U59" s="225">
        <v>1</v>
      </c>
      <c r="V59" s="225">
        <f>U59*T59</f>
        <v>14</v>
      </c>
      <c r="W59" s="225">
        <v>2018</v>
      </c>
      <c r="X59" s="225"/>
      <c r="Y59" s="225"/>
      <c r="AA59" s="226"/>
      <c r="AB59" s="240" t="s">
        <v>132</v>
      </c>
      <c r="AC59" s="228">
        <v>0.5</v>
      </c>
      <c r="AD59" s="228">
        <v>1</v>
      </c>
      <c r="AE59" s="228">
        <f t="shared" si="48"/>
        <v>0.5</v>
      </c>
      <c r="AF59" s="228">
        <v>2018</v>
      </c>
      <c r="AG59" s="228"/>
      <c r="AH59" s="228"/>
      <c r="AI59" s="229"/>
      <c r="AK59" s="241"/>
      <c r="AL59" s="230"/>
      <c r="AM59" s="239" t="s">
        <v>132</v>
      </c>
      <c r="AN59" s="224">
        <v>0.5</v>
      </c>
      <c r="AO59" s="224">
        <v>1</v>
      </c>
      <c r="AP59" s="224">
        <f t="shared" si="49"/>
        <v>0.5</v>
      </c>
      <c r="AQ59" s="224">
        <v>2018</v>
      </c>
      <c r="AR59" s="224"/>
      <c r="AS59" s="224"/>
      <c r="AT59" s="231"/>
      <c r="AU59" s="231"/>
      <c r="AV59" s="231"/>
      <c r="AW59" s="231"/>
      <c r="AX59" s="231"/>
      <c r="AY59" s="231"/>
      <c r="AZ59" s="242"/>
      <c r="BA59" s="231"/>
      <c r="BB59" s="2"/>
    </row>
    <row r="60" spans="4:54" ht="15" x14ac:dyDescent="0.25">
      <c r="D60" s="243" t="s">
        <v>133</v>
      </c>
      <c r="E60" s="216">
        <v>50</v>
      </c>
      <c r="F60" s="246" t="s">
        <v>130</v>
      </c>
      <c r="H60" s="218"/>
      <c r="I60" s="299"/>
      <c r="J60" s="300" t="s">
        <v>134</v>
      </c>
      <c r="K60" s="301">
        <v>40</v>
      </c>
      <c r="L60" s="301">
        <v>375</v>
      </c>
      <c r="M60" s="301">
        <f t="shared" si="50"/>
        <v>15</v>
      </c>
      <c r="N60" s="302">
        <v>9.3000000000000007</v>
      </c>
      <c r="O60" s="303"/>
      <c r="P60" s="303">
        <f t="shared" si="51"/>
        <v>0.62</v>
      </c>
      <c r="R60" s="222"/>
      <c r="S60" s="239" t="s">
        <v>135</v>
      </c>
      <c r="T60" s="224">
        <v>2.5</v>
      </c>
      <c r="U60" s="225">
        <v>1</v>
      </c>
      <c r="V60" s="225">
        <f>U60*T60</f>
        <v>2.5</v>
      </c>
      <c r="W60" s="225">
        <v>2018</v>
      </c>
      <c r="X60" s="225"/>
      <c r="Y60" s="225"/>
      <c r="AA60" s="226"/>
      <c r="AB60" s="240" t="s">
        <v>136</v>
      </c>
      <c r="AC60" s="228">
        <v>0.15</v>
      </c>
      <c r="AD60" s="228">
        <v>3</v>
      </c>
      <c r="AE60" s="228">
        <f t="shared" si="48"/>
        <v>0.44999999999999996</v>
      </c>
      <c r="AF60" s="228">
        <v>2018</v>
      </c>
      <c r="AG60" s="228"/>
      <c r="AH60" s="228"/>
      <c r="AI60" s="229"/>
      <c r="AK60" s="241"/>
      <c r="AL60" s="230"/>
      <c r="AM60" s="239" t="s">
        <v>136</v>
      </c>
      <c r="AN60" s="224">
        <v>0.15</v>
      </c>
      <c r="AO60" s="224">
        <v>4</v>
      </c>
      <c r="AP60" s="224">
        <f t="shared" si="49"/>
        <v>0.6</v>
      </c>
      <c r="AQ60" s="224">
        <v>2018</v>
      </c>
      <c r="AR60" s="224"/>
      <c r="AS60" s="224"/>
      <c r="AT60" s="231"/>
      <c r="AU60" s="231"/>
      <c r="AV60" s="231"/>
      <c r="AW60" s="231"/>
      <c r="AX60" s="231"/>
      <c r="AY60" s="231"/>
      <c r="AZ60" s="242"/>
      <c r="BA60" s="231"/>
      <c r="BB60" s="2"/>
    </row>
    <row r="61" spans="4:54" ht="15" x14ac:dyDescent="0.25">
      <c r="D61" s="216"/>
      <c r="E61" s="233" t="s">
        <v>83</v>
      </c>
      <c r="F61" s="217"/>
      <c r="H61" s="218"/>
      <c r="I61" s="299"/>
      <c r="J61" s="300" t="s">
        <v>137</v>
      </c>
      <c r="K61" s="301">
        <v>40</v>
      </c>
      <c r="L61" s="301">
        <v>250</v>
      </c>
      <c r="M61" s="301">
        <f t="shared" si="50"/>
        <v>10</v>
      </c>
      <c r="N61" s="302">
        <v>5.8</v>
      </c>
      <c r="O61" s="303"/>
      <c r="P61" s="303">
        <f t="shared" si="51"/>
        <v>0.57999999999999996</v>
      </c>
      <c r="R61" s="222"/>
      <c r="S61" s="224"/>
      <c r="T61" s="224"/>
      <c r="U61" s="225" t="s">
        <v>138</v>
      </c>
      <c r="V61" s="225">
        <f>SUM(V53:V60)</f>
        <v>19</v>
      </c>
      <c r="W61" s="225" t="s">
        <v>122</v>
      </c>
      <c r="X61" s="225"/>
      <c r="Y61" s="225"/>
      <c r="AA61" s="226"/>
      <c r="AB61" s="240" t="s">
        <v>139</v>
      </c>
      <c r="AC61" s="228">
        <v>0.2</v>
      </c>
      <c r="AD61" s="228">
        <v>1</v>
      </c>
      <c r="AE61" s="228">
        <f t="shared" si="48"/>
        <v>0.2</v>
      </c>
      <c r="AF61" s="228" t="s">
        <v>140</v>
      </c>
      <c r="AG61" s="228"/>
      <c r="AH61" s="228"/>
      <c r="AI61" s="229"/>
      <c r="AK61" s="241"/>
      <c r="AL61" s="230"/>
      <c r="AM61" s="239" t="s">
        <v>139</v>
      </c>
      <c r="AN61" s="224">
        <v>0.2</v>
      </c>
      <c r="AO61" s="224">
        <v>1</v>
      </c>
      <c r="AP61" s="224">
        <f t="shared" si="49"/>
        <v>0.2</v>
      </c>
      <c r="AQ61" s="224" t="s">
        <v>140</v>
      </c>
      <c r="AR61" s="224"/>
      <c r="AS61" s="224"/>
      <c r="AT61" s="231"/>
      <c r="AU61" s="231"/>
      <c r="AV61" s="231"/>
      <c r="AW61" s="231"/>
      <c r="AX61" s="231"/>
      <c r="AY61" s="231"/>
      <c r="AZ61" s="242"/>
      <c r="BA61" s="231"/>
      <c r="BB61" s="2"/>
    </row>
    <row r="62" spans="4:54" ht="15" x14ac:dyDescent="0.25">
      <c r="D62" s="243" t="s">
        <v>129</v>
      </c>
      <c r="E62" s="216">
        <v>3</v>
      </c>
      <c r="F62" s="246" t="s">
        <v>130</v>
      </c>
      <c r="H62" s="218"/>
      <c r="I62" s="221"/>
      <c r="J62" s="221"/>
      <c r="K62" s="221" t="s">
        <v>177</v>
      </c>
      <c r="L62" s="221"/>
      <c r="M62" s="221" t="s">
        <v>176</v>
      </c>
      <c r="N62" s="247"/>
      <c r="O62" s="218"/>
      <c r="P62" s="218"/>
      <c r="R62" s="222"/>
      <c r="S62" s="224"/>
      <c r="T62" s="224"/>
      <c r="U62" s="225"/>
      <c r="V62" s="225"/>
      <c r="W62" s="225"/>
      <c r="X62" s="225"/>
      <c r="Y62" s="225"/>
      <c r="AA62" s="226"/>
      <c r="AB62" s="228"/>
      <c r="AC62" s="228"/>
      <c r="AD62" s="228"/>
      <c r="AE62" s="228"/>
      <c r="AF62" s="228"/>
      <c r="AG62" s="228"/>
      <c r="AH62" s="228"/>
      <c r="AI62" s="229"/>
      <c r="AK62" s="241"/>
      <c r="AL62" s="230"/>
      <c r="AM62" s="224"/>
      <c r="AN62" s="224"/>
      <c r="AO62" s="224"/>
      <c r="AP62" s="224"/>
      <c r="AQ62" s="224"/>
      <c r="AR62" s="224"/>
      <c r="AS62" s="224"/>
      <c r="AT62" s="231"/>
      <c r="AU62" s="231"/>
      <c r="AV62" s="231"/>
      <c r="AW62" s="231"/>
      <c r="AX62" s="231"/>
      <c r="AY62" s="231"/>
      <c r="AZ62" s="242"/>
      <c r="BA62" s="231"/>
      <c r="BB62" s="2"/>
    </row>
    <row r="63" spans="4:54" ht="18.75" x14ac:dyDescent="0.3">
      <c r="D63" s="243" t="s">
        <v>141</v>
      </c>
      <c r="E63" s="216">
        <v>20</v>
      </c>
      <c r="F63" s="246" t="s">
        <v>130</v>
      </c>
      <c r="H63" s="248" t="s">
        <v>166</v>
      </c>
      <c r="I63" s="218"/>
      <c r="J63" s="221"/>
      <c r="K63" s="221"/>
      <c r="L63" s="221"/>
      <c r="M63" s="237"/>
      <c r="N63" s="226"/>
      <c r="O63" s="238"/>
      <c r="P63" s="238"/>
      <c r="R63" s="12"/>
      <c r="S63" s="36"/>
      <c r="T63" s="36"/>
      <c r="U63" s="249" t="s">
        <v>125</v>
      </c>
      <c r="V63" s="249" t="s">
        <v>82</v>
      </c>
      <c r="W63" s="249" t="s">
        <v>83</v>
      </c>
      <c r="X63" s="249" t="s">
        <v>3</v>
      </c>
      <c r="Y63" s="249"/>
      <c r="AA63" s="226"/>
      <c r="AB63" s="228"/>
      <c r="AC63" s="228"/>
      <c r="AD63" s="228" t="s">
        <v>142</v>
      </c>
      <c r="AE63" s="228">
        <f>SUM(AE53:AE61)</f>
        <v>4.95</v>
      </c>
      <c r="AF63" s="228" t="s">
        <v>122</v>
      </c>
      <c r="AG63" s="228"/>
      <c r="AH63" s="228"/>
      <c r="AI63" s="229"/>
      <c r="AK63" s="241"/>
      <c r="AL63" s="230"/>
      <c r="AM63" s="224"/>
      <c r="AN63" s="224"/>
      <c r="AO63" s="239" t="s">
        <v>143</v>
      </c>
      <c r="AP63" s="224">
        <f>SUM(AP53:AP61)</f>
        <v>6.4999999999999991</v>
      </c>
      <c r="AQ63" s="224" t="s">
        <v>122</v>
      </c>
      <c r="AR63" s="224"/>
      <c r="AS63" s="224"/>
      <c r="AT63" s="231"/>
      <c r="AU63" s="231"/>
      <c r="AV63" s="231"/>
      <c r="AW63" s="231"/>
      <c r="AX63" s="231"/>
      <c r="AY63" s="231"/>
      <c r="AZ63" s="242"/>
      <c r="BA63" s="231"/>
      <c r="BB63" s="2"/>
    </row>
    <row r="64" spans="4:54" ht="15" x14ac:dyDescent="0.25">
      <c r="H64" s="218"/>
      <c r="I64" s="218"/>
      <c r="J64" s="250" t="s">
        <v>144</v>
      </c>
      <c r="K64" s="221" t="s">
        <v>145</v>
      </c>
      <c r="L64" s="221" t="s">
        <v>52</v>
      </c>
      <c r="M64" s="237" t="s">
        <v>111</v>
      </c>
      <c r="N64" s="226" t="s">
        <v>112</v>
      </c>
      <c r="O64" s="238"/>
      <c r="P64" s="238" t="s">
        <v>14</v>
      </c>
      <c r="R64" s="12"/>
      <c r="S64" s="12"/>
      <c r="T64" s="12"/>
      <c r="U64" s="251" t="s">
        <v>146</v>
      </c>
      <c r="V64" s="249">
        <v>1.5</v>
      </c>
      <c r="W64" s="249">
        <v>0.2</v>
      </c>
      <c r="X64" s="249" t="s">
        <v>147</v>
      </c>
      <c r="Y64" s="252"/>
      <c r="Z64" s="253"/>
      <c r="AA64" s="226"/>
      <c r="AB64" s="254"/>
      <c r="AC64" s="237"/>
      <c r="AD64" s="237"/>
      <c r="AE64" s="237"/>
      <c r="AF64" s="254"/>
      <c r="AG64" s="237"/>
      <c r="AH64" s="237"/>
      <c r="AI64" s="226"/>
      <c r="AK64" s="241"/>
      <c r="AL64" s="230"/>
      <c r="AM64" s="224"/>
      <c r="AN64" s="224"/>
      <c r="AO64" s="224"/>
      <c r="AP64" s="224"/>
      <c r="AQ64" s="224"/>
      <c r="AR64" s="224"/>
      <c r="AS64" s="224"/>
      <c r="AT64" s="231"/>
      <c r="AU64" s="231"/>
      <c r="AV64" s="231"/>
      <c r="AW64" s="231"/>
      <c r="AX64" s="231"/>
      <c r="AY64" s="231"/>
      <c r="AZ64" s="242"/>
      <c r="BA64" s="231"/>
      <c r="BB64" s="2"/>
    </row>
    <row r="65" spans="8:54" ht="15" x14ac:dyDescent="0.25">
      <c r="H65" s="218"/>
      <c r="I65" s="218"/>
      <c r="J65" s="219"/>
      <c r="K65" s="221"/>
      <c r="L65" s="221"/>
      <c r="M65" s="237" t="s">
        <v>148</v>
      </c>
      <c r="N65" s="226" t="s">
        <v>103</v>
      </c>
      <c r="O65" s="238"/>
      <c r="P65" s="238"/>
      <c r="R65" s="12"/>
      <c r="S65" s="12"/>
      <c r="T65" s="12"/>
      <c r="U65" s="251" t="s">
        <v>149</v>
      </c>
      <c r="V65" s="249">
        <v>0.2</v>
      </c>
      <c r="W65" s="249">
        <v>0.1</v>
      </c>
      <c r="X65" s="249" t="s">
        <v>147</v>
      </c>
      <c r="Y65" s="252"/>
      <c r="Z65" s="253"/>
      <c r="AA65" s="226"/>
      <c r="AB65" s="254"/>
      <c r="AC65" s="228"/>
      <c r="AD65" s="228"/>
      <c r="AE65" s="240" t="s">
        <v>125</v>
      </c>
      <c r="AF65" s="228" t="s">
        <v>82</v>
      </c>
      <c r="AG65" s="228" t="s">
        <v>83</v>
      </c>
      <c r="AH65" s="228"/>
      <c r="AI65" s="226"/>
      <c r="AK65" s="241"/>
      <c r="AL65" s="230"/>
      <c r="AM65" s="224"/>
      <c r="AN65" s="224"/>
      <c r="AO65" s="239" t="s">
        <v>125</v>
      </c>
      <c r="AP65" s="224" t="s">
        <v>82</v>
      </c>
      <c r="AQ65" s="224" t="s">
        <v>83</v>
      </c>
      <c r="AR65" s="224"/>
      <c r="AS65" s="224"/>
      <c r="AT65" s="231"/>
      <c r="AU65" s="231"/>
      <c r="AV65" s="231"/>
      <c r="AW65" s="231"/>
      <c r="AX65" s="231"/>
      <c r="AY65" s="231"/>
      <c r="AZ65" s="242"/>
      <c r="BA65" s="231"/>
      <c r="BB65" s="2"/>
    </row>
    <row r="66" spans="8:54" ht="15" x14ac:dyDescent="0.25">
      <c r="H66" s="218"/>
      <c r="I66" s="221"/>
      <c r="J66" s="240" t="s">
        <v>150</v>
      </c>
      <c r="K66" s="237">
        <v>75</v>
      </c>
      <c r="L66" s="237">
        <v>1000</v>
      </c>
      <c r="M66" s="237">
        <f>K66*L66/1000</f>
        <v>75</v>
      </c>
      <c r="N66" s="226">
        <v>48</v>
      </c>
      <c r="O66" s="238"/>
      <c r="P66" s="238">
        <f>N66/M66</f>
        <v>0.64</v>
      </c>
      <c r="T66" s="255"/>
      <c r="U66" s="256"/>
      <c r="V66" s="256"/>
      <c r="W66" s="256"/>
      <c r="X66" s="256"/>
      <c r="Y66" s="256"/>
      <c r="Z66" s="253"/>
      <c r="AA66" s="226"/>
      <c r="AB66" s="254"/>
      <c r="AC66" s="228"/>
      <c r="AD66" s="228"/>
      <c r="AE66" s="240" t="s">
        <v>146</v>
      </c>
      <c r="AF66" s="228">
        <v>1.5</v>
      </c>
      <c r="AG66" s="228">
        <v>0.2</v>
      </c>
      <c r="AH66" s="228" t="s">
        <v>147</v>
      </c>
      <c r="AI66" s="226"/>
      <c r="AK66" s="241"/>
      <c r="AL66" s="230"/>
      <c r="AM66" s="224"/>
      <c r="AN66" s="224"/>
      <c r="AO66" s="239" t="s">
        <v>146</v>
      </c>
      <c r="AP66" s="224">
        <v>1.5</v>
      </c>
      <c r="AQ66" s="224">
        <v>0.2</v>
      </c>
      <c r="AR66" s="257" t="s">
        <v>147</v>
      </c>
      <c r="AS66" s="257"/>
      <c r="AT66" s="231"/>
      <c r="AU66" s="231"/>
      <c r="AV66" s="231"/>
      <c r="AW66" s="231"/>
      <c r="AX66" s="231"/>
      <c r="AY66" s="231"/>
      <c r="AZ66" s="242"/>
      <c r="BA66" s="231"/>
      <c r="BB66" s="2"/>
    </row>
    <row r="67" spans="8:54" ht="15" x14ac:dyDescent="0.25">
      <c r="H67" s="218"/>
      <c r="I67" s="218"/>
      <c r="J67" s="298">
        <v>2018</v>
      </c>
      <c r="K67" s="237">
        <v>150</v>
      </c>
      <c r="L67" s="237">
        <v>500</v>
      </c>
      <c r="M67" s="237">
        <f>K67*L67/1000</f>
        <v>75</v>
      </c>
      <c r="N67" s="226">
        <v>48</v>
      </c>
      <c r="O67" s="238"/>
      <c r="P67" s="238">
        <f>N67/M67</f>
        <v>0.64</v>
      </c>
      <c r="Z67" s="253"/>
      <c r="AA67" s="226"/>
      <c r="AB67" s="254"/>
      <c r="AC67" s="228"/>
      <c r="AD67" s="228"/>
      <c r="AE67" s="240" t="s">
        <v>149</v>
      </c>
      <c r="AF67" s="228">
        <v>0.5</v>
      </c>
      <c r="AG67" s="228">
        <v>0.2</v>
      </c>
      <c r="AH67" s="228" t="s">
        <v>147</v>
      </c>
      <c r="AI67" s="226"/>
      <c r="AK67" s="241"/>
      <c r="AL67" s="230"/>
      <c r="AM67" s="224"/>
      <c r="AN67" s="224"/>
      <c r="AO67" s="239" t="s">
        <v>149</v>
      </c>
      <c r="AP67" s="224">
        <v>0.5</v>
      </c>
      <c r="AQ67" s="224">
        <v>0.2</v>
      </c>
      <c r="AR67" s="257" t="s">
        <v>147</v>
      </c>
      <c r="AS67" s="257"/>
      <c r="AT67" s="231"/>
      <c r="AU67" s="231"/>
      <c r="AV67" s="231"/>
      <c r="AW67" s="231"/>
      <c r="AX67" s="231"/>
      <c r="AY67" s="231"/>
      <c r="AZ67" s="242"/>
      <c r="BA67" s="231"/>
      <c r="BB67" s="2"/>
    </row>
    <row r="68" spans="8:54" ht="15" x14ac:dyDescent="0.25">
      <c r="H68" s="218"/>
      <c r="I68" s="218"/>
      <c r="J68" s="219"/>
      <c r="K68" s="221"/>
      <c r="L68" s="221"/>
      <c r="M68" s="221"/>
      <c r="N68" s="218"/>
      <c r="O68" s="238"/>
      <c r="P68" s="238"/>
      <c r="AA68" s="228"/>
      <c r="AB68" s="228"/>
      <c r="AC68" s="228"/>
      <c r="AD68" s="228"/>
      <c r="AE68" s="240" t="s">
        <v>151</v>
      </c>
      <c r="AF68" s="240">
        <v>0.2</v>
      </c>
      <c r="AG68" s="240">
        <v>0.15</v>
      </c>
      <c r="AH68" s="228" t="s">
        <v>147</v>
      </c>
      <c r="AI68" s="240"/>
      <c r="AK68" s="224"/>
      <c r="AL68" s="224"/>
      <c r="AM68" s="224"/>
      <c r="AN68" s="224"/>
      <c r="AO68" s="224" t="s">
        <v>151</v>
      </c>
      <c r="AP68" s="224">
        <v>0.2</v>
      </c>
      <c r="AQ68" s="224">
        <v>0.2</v>
      </c>
      <c r="AR68" s="224" t="s">
        <v>147</v>
      </c>
      <c r="AS68" s="224"/>
    </row>
    <row r="70" spans="8:54" x14ac:dyDescent="0.2">
      <c r="T70" s="255"/>
    </row>
    <row r="71" spans="8:54" ht="15" x14ac:dyDescent="0.25">
      <c r="H71" s="218"/>
      <c r="I71" s="218"/>
      <c r="J71" s="219"/>
      <c r="K71" s="258" t="s">
        <v>152</v>
      </c>
      <c r="L71" s="221">
        <v>5</v>
      </c>
      <c r="M71" s="221" t="s">
        <v>153</v>
      </c>
      <c r="N71" s="298">
        <v>2018</v>
      </c>
      <c r="O71" s="218"/>
      <c r="P71" s="218"/>
    </row>
    <row r="72" spans="8:54" ht="15" x14ac:dyDescent="0.25">
      <c r="H72" s="218"/>
      <c r="I72" s="218"/>
      <c r="J72" s="219"/>
      <c r="K72" s="218" t="s">
        <v>175</v>
      </c>
      <c r="L72" s="221"/>
      <c r="M72" s="221"/>
      <c r="N72" s="218"/>
      <c r="O72" s="218"/>
      <c r="P72" s="218"/>
    </row>
  </sheetData>
  <mergeCells count="11">
    <mergeCell ref="AZ46:BA46"/>
    <mergeCell ref="AZ47:BA47"/>
    <mergeCell ref="AI14:AK14"/>
    <mergeCell ref="AM14:AP14"/>
    <mergeCell ref="AU14:AW14"/>
    <mergeCell ref="A1:BD1"/>
    <mergeCell ref="C13:H13"/>
    <mergeCell ref="J13:R13"/>
    <mergeCell ref="T13:Z13"/>
    <mergeCell ref="AS13:AX13"/>
    <mergeCell ref="BA13:BC13"/>
  </mergeCells>
  <conditionalFormatting sqref="AZ16:AZ26">
    <cfRule type="colorScale" priority="3">
      <colorScale>
        <cfvo type="min"/>
        <cfvo type="percentile" val="50"/>
        <cfvo type="max"/>
        <color theme="9" tint="0.39997558519241921"/>
        <color rgb="FFFFEB84"/>
        <color rgb="FFFF0000"/>
      </colorScale>
    </cfRule>
    <cfRule type="colorScale" priority="4">
      <colorScale>
        <cfvo type="percent" val="100"/>
        <cfvo type="percentile" val="50"/>
        <cfvo type="percent" val="0"/>
        <color rgb="FFF8696B"/>
        <color rgb="FFFFEB84"/>
        <color rgb="FF63BE7B"/>
      </colorScale>
    </cfRule>
  </conditionalFormatting>
  <conditionalFormatting sqref="AY16:AY26">
    <cfRule type="colorScale" priority="1">
      <colorScale>
        <cfvo type="min"/>
        <cfvo type="percentile" val="50"/>
        <cfvo type="max"/>
        <color theme="9" tint="0.39997558519241921"/>
        <color rgb="FFFFEB84"/>
        <color rgb="FFFF0000"/>
      </colorScale>
    </cfRule>
  </conditionalFormatting>
  <hyperlinks>
    <hyperlink ref="L4" r:id="rId1" xr:uid="{00000000-0004-0000-0000-000000000000}"/>
    <hyperlink ref="L5" r:id="rId2" xr:uid="{00000000-0004-0000-0000-000001000000}"/>
  </hyperlinks>
  <printOptions horizontalCentered="1" verticalCentered="1" gridLines="1"/>
  <pageMargins left="0" right="0" top="0" bottom="0" header="0.3" footer="0.3"/>
  <pageSetup paperSize="3" scale="42" firstPageNumber="0" orientation="landscape" r:id="rId3"/>
  <headerFooter>
    <oddHeader>&amp;C&amp;A</oddHeader>
    <oddFooter>&amp;CPage &amp;P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162C8-D104-45B6-9126-91DCEB926A90}">
  <dimension ref="A4:D16"/>
  <sheetViews>
    <sheetView zoomScaleNormal="100" workbookViewId="0">
      <selection activeCell="E10" sqref="E10"/>
    </sheetView>
  </sheetViews>
  <sheetFormatPr defaultRowHeight="12.75" x14ac:dyDescent="0.2"/>
  <cols>
    <col min="1" max="3" width="9.140625" style="289"/>
    <col min="4" max="4" width="14.140625" style="289" customWidth="1"/>
    <col min="5" max="16384" width="9.140625" style="289"/>
  </cols>
  <sheetData>
    <row r="4" spans="1:4" x14ac:dyDescent="0.2">
      <c r="B4" s="289" t="s">
        <v>167</v>
      </c>
    </row>
    <row r="5" spans="1:4" x14ac:dyDescent="0.2">
      <c r="A5" s="291" t="s">
        <v>169</v>
      </c>
      <c r="B5" s="291" t="s">
        <v>172</v>
      </c>
      <c r="C5" s="291" t="s">
        <v>174</v>
      </c>
      <c r="D5" s="291" t="s">
        <v>173</v>
      </c>
    </row>
    <row r="6" spans="1:4" x14ac:dyDescent="0.2">
      <c r="A6" s="291">
        <v>0.75</v>
      </c>
      <c r="B6" s="293">
        <v>1.6040000000000001</v>
      </c>
      <c r="C6" s="290">
        <f>(B6/A6)</f>
        <v>2.1386666666666669</v>
      </c>
      <c r="D6" s="294">
        <f>(1.7408*A6^0.5923)+0.15</f>
        <v>1.6180730435869541</v>
      </c>
    </row>
    <row r="7" spans="1:4" x14ac:dyDescent="0.2">
      <c r="A7" s="291">
        <v>1.5</v>
      </c>
      <c r="B7" s="293">
        <v>1.915</v>
      </c>
      <c r="C7" s="290">
        <f t="shared" ref="C7:C12" si="0">(B7/A7)</f>
        <v>1.2766666666666666</v>
      </c>
      <c r="D7" s="294">
        <f t="shared" ref="D7:D12" si="1">(1.7408*A7^0.5923)+0.15</f>
        <v>2.3633379512184898</v>
      </c>
    </row>
    <row r="8" spans="1:4" x14ac:dyDescent="0.2">
      <c r="A8" s="291">
        <v>2.4</v>
      </c>
      <c r="B8" s="293">
        <v>2.9020000000000001</v>
      </c>
      <c r="C8" s="290">
        <f t="shared" si="0"/>
        <v>1.2091666666666667</v>
      </c>
      <c r="D8" s="294">
        <f t="shared" si="1"/>
        <v>3.0738022534285627</v>
      </c>
    </row>
    <row r="9" spans="1:4" x14ac:dyDescent="0.2">
      <c r="A9" s="291">
        <v>3.3</v>
      </c>
      <c r="B9" s="293">
        <v>3.698</v>
      </c>
      <c r="C9" s="290">
        <f t="shared" si="0"/>
        <v>1.1206060606060606</v>
      </c>
      <c r="D9" s="294">
        <f t="shared" si="1"/>
        <v>3.6807314381499001</v>
      </c>
    </row>
    <row r="10" spans="1:4" x14ac:dyDescent="0.2">
      <c r="A10" s="291">
        <v>5</v>
      </c>
      <c r="B10" s="293">
        <v>4.6120000000000001</v>
      </c>
      <c r="C10" s="290">
        <f t="shared" si="0"/>
        <v>0.9224</v>
      </c>
      <c r="D10" s="294">
        <f t="shared" si="1"/>
        <v>4.6659467427954109</v>
      </c>
    </row>
    <row r="11" spans="1:4" x14ac:dyDescent="0.2">
      <c r="A11" s="291">
        <v>10</v>
      </c>
      <c r="B11" s="293">
        <v>6.6180000000000003</v>
      </c>
      <c r="C11" s="290">
        <f t="shared" si="0"/>
        <v>0.66180000000000005</v>
      </c>
      <c r="D11" s="294">
        <f t="shared" si="1"/>
        <v>6.9584598073464887</v>
      </c>
    </row>
    <row r="12" spans="1:4" x14ac:dyDescent="0.2">
      <c r="A12" s="291">
        <v>15</v>
      </c>
      <c r="B12" s="293">
        <v>8.8729999999999993</v>
      </c>
      <c r="C12" s="290">
        <f t="shared" si="0"/>
        <v>0.59153333333333324</v>
      </c>
      <c r="D12" s="294">
        <f t="shared" si="1"/>
        <v>8.8066075832638493</v>
      </c>
    </row>
    <row r="15" spans="1:4" x14ac:dyDescent="0.2">
      <c r="B15" s="289" t="s">
        <v>168</v>
      </c>
    </row>
    <row r="16" spans="1:4" x14ac:dyDescent="0.2">
      <c r="B16" s="292" t="s">
        <v>171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Power Supplies</vt:lpstr>
      <vt:lpstr>$ per W Calc</vt:lpstr>
      <vt:lpstr>'Power Supplies'!Print_Area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ACCELERATOR DIVISION</dc:creator>
  <dc:description/>
  <cp:lastModifiedBy>Bruce M. Hanna x4985 03242N</cp:lastModifiedBy>
  <cp:revision>3</cp:revision>
  <cp:lastPrinted>2019-05-29T20:59:22Z</cp:lastPrinted>
  <dcterms:created xsi:type="dcterms:W3CDTF">2011-04-26T19:45:50Z</dcterms:created>
  <dcterms:modified xsi:type="dcterms:W3CDTF">2019-10-02T21:42:39Z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