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8760" windowHeight="21760" tabRatio="150" activeTab="1"/>
  </bookViews>
  <sheets>
    <sheet name="From Spokesperons" sheetId="1" r:id="rId1"/>
    <sheet name="From Doug" sheetId="2" r:id="rId2"/>
  </sheets>
  <definedNames/>
  <calcPr fullCalcOnLoad="1"/>
</workbook>
</file>

<file path=xl/sharedStrings.xml><?xml version="1.0" encoding="utf-8"?>
<sst xmlns="http://schemas.openxmlformats.org/spreadsheetml/2006/main" count="103" uniqueCount="75">
  <si>
    <t>30.0 FTE</t>
  </si>
  <si>
    <t>This number, rounded to the nearest whole number, appears in the report findings.</t>
  </si>
  <si>
    <t>To get FTE needed to take data, process data, and prepare MC I Summed over Rows [3:6] Columns[C:T]</t>
  </si>
  <si>
    <t>11.49 FTE</t>
  </si>
  <si>
    <t>I excluded "CROC-E Upgrade", "Tbeam Refurb and DAQ", "Tbeam Ops and Shifts"</t>
  </si>
  <si>
    <t>9.55 FTE</t>
  </si>
  <si>
    <t>I scaled this by 12/7 to get FTE normalized to full year.</t>
  </si>
  <si>
    <t>16.4 FTE</t>
  </si>
  <si>
    <t>This number, rounded to the nearest whole number, appears in the report findings.</t>
  </si>
  <si>
    <t>From the previous sheet I Sum Rows[3:6] Columns[Z:AB] to get physicist FTE (normalized to full year) available from the Collaboration.</t>
  </si>
  <si>
    <t>new muon monitor #4 commissioning bump in FY14</t>
  </si>
  <si>
    <t>No plan right now to support PPD efforts here</t>
  </si>
  <si>
    <t>These are needs based; we fall short of this.  Price of falling short: not keeping up with our data (as in LE run), missing key reconstruction elements (OD, MINOS stubs)</t>
  </si>
  <si>
    <t>These are DESCRIPTIVE, meaning that it is the group on the ground.  Could do more with more people.</t>
  </si>
  <si>
    <t>Note that this excludes some tasks of the collaboration: mostly management, also publications and presentations, etc.</t>
  </si>
  <si>
    <t>FY13</t>
  </si>
  <si>
    <t>Specialized Physicist (specific expertise) must be at FNAL</t>
  </si>
  <si>
    <t>PPD EED Engineer or Tech</t>
  </si>
  <si>
    <t>Unclear if we face a short-term shortfall during prep for upcoming run.  There is a large group, but they also have many tasks in front of them (prep for other experiments and MicroBooNE chief among them).</t>
  </si>
  <si>
    <t>CD FEF (FNAL Expt Facilities) Personnel</t>
  </si>
  <si>
    <t>CD REX</t>
  </si>
  <si>
    <t xml:space="preserve">There is a large fractional shortfall here, which then falls back on physicists (who have less experience than REX personnel and are often more inefficient at the same tasks) or results in data not being processed, spotty code builds, no validation infrastructure routinely run, long standing framework/infrastructure problems, etc.  </t>
  </si>
  <si>
    <t>Task</t>
  </si>
  <si>
    <t>DAQ (CROC-E) Upgrade</t>
  </si>
  <si>
    <t>DAQ Hardware Maintenance</t>
  </si>
  <si>
    <t>“PPD EE” Hardware (Power Supplies)</t>
  </si>
  <si>
    <t>Control Room Computing</t>
  </si>
  <si>
    <t>UROC (Remote Shift Hardware)</t>
  </si>
  <si>
    <t>Detector Protection (Roof, Drains)</t>
  </si>
  <si>
    <t>Water Target</t>
  </si>
  <si>
    <t>Cryo Target (He Fill)</t>
  </si>
  <si>
    <t>Muon Monitors</t>
  </si>
  <si>
    <t>PMT Box and FEB Replacement on Detector</t>
  </si>
  <si>
    <t>PMT Testing and Refurbishment</t>
  </si>
  <si>
    <t>Run Co and DAQ/RC/Detector Expert Shifters</t>
  </si>
  <si>
    <t>Shifts (24 person hours/day)</t>
  </si>
  <si>
    <t>Testbeam Detector Refurb and DAQ</t>
  </si>
  <si>
    <t>Testbeam Ops and Shifts (6wk run, one shift, two shifters)</t>
  </si>
  <si>
    <t>Analysis Infrastructure (data handling, processing, framework, builds and validation)</t>
  </si>
  <si>
    <t>Core Reconstruction, Data Quality and Calibration</t>
  </si>
  <si>
    <t xml:space="preserve">Generators </t>
  </si>
  <si>
    <t>Core LE Analysis (QE, total CC, pion production, flux)</t>
  </si>
  <si>
    <t>Secondary LE Analysis (e.g., kaons, S.F.s, nue)</t>
  </si>
  <si>
    <t>ME Analysis</t>
  </si>
  <si>
    <t>Total FTEs</t>
  </si>
  <si>
    <t>Scaled to One Year for FY13</t>
  </si>
  <si>
    <t>Student FTEs Available for These Tasks (full year)</t>
  </si>
  <si>
    <t>Postdoc FTEs Available for these Tasks (full year)</t>
  </si>
  <si>
    <t>Scientist/Faculty FTEs Available (full year)</t>
  </si>
  <si>
    <t>Comments on Shortfalls</t>
  </si>
  <si>
    <t>Notes on tasks</t>
  </si>
  <si>
    <t>have deferred maintenance to address before start of run</t>
  </si>
  <si>
    <t>we have a recommendation to clean and service power infrastructure before run starts</t>
  </si>
  <si>
    <t>assumes a rebuild in FY13 and then continuous operations.  Needs are smaller without a rebuild</t>
  </si>
  <si>
    <t>All M&amp;S Secured (relevant only for FY13)</t>
  </si>
  <si>
    <t>yes</t>
  </si>
  <si>
    <t>no</t>
  </si>
  <si>
    <t>n/a</t>
  </si>
  <si>
    <t>We lack M&amp;S resources and some labor resources to run our testbeam.  This could be deferred into FY14, but then will require those resources in outyears.</t>
  </si>
  <si>
    <t>FY14</t>
  </si>
  <si>
    <t>Specialized FNAL resident Physicist (specific expertise)</t>
  </si>
  <si>
    <t>FNAL resident Physicist</t>
  </si>
  <si>
    <t>Integrated physicist shortfall will not ease in FY14.  Many needs in analysis infrastructure and core reconstruction continue.</t>
  </si>
  <si>
    <t>FY15</t>
  </si>
  <si>
    <t>Some reduction in integrated needs, but also expect some outflow from collaboration as we go to a more limited set of physics topics in ME beam.</t>
  </si>
  <si>
    <t>Our highest priorities here are someone to take some run coordinator burden from Howard Budd (or replace him in the future), DAQ experts, and experts in software and computing infrastructure.  Many of the people who fall into this category are students and postdocs who also need the opportunity to work on analysis, so even if those FTEs exist by headcount, it is still a large shortfall.</t>
  </si>
  <si>
    <t>(7 months)</t>
  </si>
  <si>
    <t>Physicist must be at FNAL</t>
  </si>
  <si>
    <t>Specialized Physicist (specific expertise)</t>
  </si>
  <si>
    <t>Some of the software expertise above could, in principle, be off site.  In practice, offsite skill set is poorly matched</t>
  </si>
  <si>
    <t>Physicist</t>
  </si>
  <si>
    <t>Globally, we have a headcount shortfall across all physicist categories of roughly 5-7.  Currently, that is trickling down into inability to analyze data in a timely way and therefore to complete analyses since the “buck stops there”.  We have had integrated shortfalls in core computing and reconstruction areas since the start of data taking and previously had inadequate resources to prepare for computing and analysis infrastructure before start of data taking in 2010.</t>
  </si>
  <si>
    <t>PPD Ops Tech (includes sub to UR through 3/13)</t>
  </si>
  <si>
    <t>We roll up to 2 FTEs this year, and it's not obvious that we get this.  PPD model would suggest we should going forward with just-in-time assignments and pools of techs.</t>
  </si>
  <si>
    <t>PPD Cyro Techs or Engineer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</si>
</sst>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s>
  <fonts count="6">
    <font>
      <sz val="10"/>
      <name val="Arial"/>
      <family val="2"/>
    </font>
    <font>
      <i/>
      <sz val="8"/>
      <name val="Arial"/>
      <family val="2"/>
    </font>
    <font>
      <i/>
      <sz val="10"/>
      <name val="Arial"/>
      <family val="2"/>
    </font>
    <font>
      <sz val="8"/>
      <name val="Arial"/>
      <family val="2"/>
    </font>
    <font>
      <sz val="8"/>
      <name val="Verdana"/>
      <family val="0"/>
    </font>
    <font>
      <sz val="14"/>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0" fontId="0" fillId="0" borderId="0" xfId="0" applyAlignment="1">
      <alignment/>
    </xf>
    <xf numFmtId="0" fontId="0" fillId="0" borderId="0" xfId="0" applyAlignment="1">
      <alignment wrapText="1"/>
    </xf>
    <xf numFmtId="0" fontId="1" fillId="0" borderId="0" xfId="0" applyFont="1" applyAlignment="1">
      <alignment vertical="top" wrapText="1"/>
    </xf>
    <xf numFmtId="0" fontId="2" fillId="0" borderId="0" xfId="0" applyFont="1" applyAlignment="1">
      <alignment vertical="top" wrapText="1"/>
    </xf>
    <xf numFmtId="2" fontId="0" fillId="0" borderId="0" xfId="0" applyNumberFormat="1" applyAlignment="1">
      <alignment/>
    </xf>
    <xf numFmtId="0" fontId="3" fillId="0" borderId="0" xfId="0" applyFont="1" applyAlignment="1">
      <alignment wrapText="1"/>
    </xf>
    <xf numFmtId="2" fontId="0" fillId="0" borderId="0" xfId="0" applyNumberFormat="1" applyFont="1" applyAlignment="1">
      <alignment horizontal="center"/>
    </xf>
    <xf numFmtId="0" fontId="1" fillId="0" borderId="0" xfId="0" applyFont="1" applyBorder="1" applyAlignment="1">
      <alignment horizontal="left" vertical="top" wrapText="1"/>
    </xf>
    <xf numFmtId="0" fontId="5" fillId="0" borderId="0" xfId="0" applyNumberFormat="1" applyFont="1" applyAlignment="1">
      <alignment horizontal="right"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2"/>
  <sheetViews>
    <sheetView zoomScale="125" zoomScaleNormal="125" workbookViewId="0" topLeftCell="F1">
      <selection activeCell="Z6" sqref="Z6"/>
    </sheetView>
  </sheetViews>
  <sheetFormatPr defaultColWidth="11.57421875" defaultRowHeight="12.75"/>
  <cols>
    <col min="1" max="1" width="11.421875" style="0" customWidth="1"/>
    <col min="2" max="2" width="49.28125" style="0" customWidth="1"/>
    <col min="3" max="3" width="9.140625" style="0" customWidth="1"/>
    <col min="4" max="4" width="15.421875" style="0" customWidth="1"/>
    <col min="5" max="5" width="17.7109375" style="0" customWidth="1"/>
    <col min="6" max="6" width="10.421875" style="0" customWidth="1"/>
    <col min="7" max="7" width="9.28125" style="0" customWidth="1"/>
    <col min="8" max="8" width="9.421875" style="0" customWidth="1"/>
    <col min="9" max="9" width="19.7109375" style="0" customWidth="1"/>
    <col min="10" max="10" width="7.28125" style="0" customWidth="1"/>
    <col min="11" max="13" width="11.421875" style="0" customWidth="1"/>
    <col min="14" max="14" width="12.00390625" style="0" customWidth="1"/>
    <col min="15" max="15" width="9.7109375" style="0" customWidth="1"/>
    <col min="16" max="16" width="11.421875" style="0" customWidth="1"/>
    <col min="17" max="17" width="16.8515625" style="0" customWidth="1"/>
    <col min="18" max="18" width="20.7109375" style="0" customWidth="1"/>
    <col min="19" max="19" width="14.28125" style="0" customWidth="1"/>
    <col min="20" max="20" width="11.421875" style="0" customWidth="1"/>
    <col min="21" max="21" width="16.28125" style="0" customWidth="1"/>
    <col min="22" max="23" width="11.421875" style="0" customWidth="1"/>
    <col min="24" max="24" width="8.8515625" style="0" customWidth="1"/>
    <col min="25" max="25" width="10.00390625" style="0" customWidth="1"/>
    <col min="26" max="26" width="22.7109375" style="0" customWidth="1"/>
    <col min="27" max="27" width="13.00390625" style="0" customWidth="1"/>
    <col min="28" max="28" width="13.7109375" style="0" customWidth="1"/>
    <col min="29" max="29" width="80.28125" style="0" customWidth="1"/>
    <col min="30" max="16384" width="11.421875" style="0" customWidth="1"/>
  </cols>
  <sheetData>
    <row r="1" spans="2:29" s="1" customFormat="1" ht="48">
      <c r="B1" s="1" t="s">
        <v>22</v>
      </c>
      <c r="C1" s="1" t="s">
        <v>23</v>
      </c>
      <c r="D1" s="1" t="s">
        <v>24</v>
      </c>
      <c r="E1" s="1" t="s">
        <v>25</v>
      </c>
      <c r="F1" s="1" t="s">
        <v>26</v>
      </c>
      <c r="G1" s="1" t="s">
        <v>27</v>
      </c>
      <c r="H1" s="1" t="s">
        <v>28</v>
      </c>
      <c r="I1" s="1" t="s">
        <v>29</v>
      </c>
      <c r="J1" s="1" t="s">
        <v>30</v>
      </c>
      <c r="K1" s="1" t="s">
        <v>31</v>
      </c>
      <c r="L1" s="1" t="s">
        <v>32</v>
      </c>
      <c r="M1" s="1" t="s">
        <v>33</v>
      </c>
      <c r="N1" s="1" t="s">
        <v>34</v>
      </c>
      <c r="O1" s="1" t="s">
        <v>35</v>
      </c>
      <c r="P1" s="1" t="s">
        <v>36</v>
      </c>
      <c r="Q1" s="1" t="s">
        <v>37</v>
      </c>
      <c r="R1" s="1" t="s">
        <v>38</v>
      </c>
      <c r="S1" s="1" t="s">
        <v>39</v>
      </c>
      <c r="T1" s="1" t="s">
        <v>40</v>
      </c>
      <c r="U1" s="1" t="s">
        <v>41</v>
      </c>
      <c r="V1" s="1" t="s">
        <v>42</v>
      </c>
      <c r="W1" s="1" t="s">
        <v>43</v>
      </c>
      <c r="X1" s="1" t="s">
        <v>44</v>
      </c>
      <c r="Y1" s="1" t="s">
        <v>45</v>
      </c>
      <c r="Z1" s="1" t="s">
        <v>46</v>
      </c>
      <c r="AA1" s="1" t="s">
        <v>47</v>
      </c>
      <c r="AB1" s="1" t="s">
        <v>48</v>
      </c>
      <c r="AC1" s="1" t="s">
        <v>49</v>
      </c>
    </row>
    <row r="2" spans="2:28" s="2" customFormat="1" ht="47.25" customHeight="1">
      <c r="B2" s="3" t="s">
        <v>50</v>
      </c>
      <c r="D2" s="2" t="s">
        <v>51</v>
      </c>
      <c r="E2" s="2" t="s">
        <v>52</v>
      </c>
      <c r="I2" s="2" t="s">
        <v>53</v>
      </c>
      <c r="K2" s="2" t="s">
        <v>10</v>
      </c>
      <c r="P2" s="2" t="s">
        <v>11</v>
      </c>
      <c r="R2" s="7" t="s">
        <v>12</v>
      </c>
      <c r="S2" s="7"/>
      <c r="T2" s="7" t="s">
        <v>13</v>
      </c>
      <c r="U2" s="7"/>
      <c r="V2" s="7"/>
      <c r="W2" s="7"/>
      <c r="Z2" s="7" t="s">
        <v>14</v>
      </c>
      <c r="AA2" s="7"/>
      <c r="AB2" s="7"/>
    </row>
    <row r="3" spans="1:29" ht="30">
      <c r="A3" t="s">
        <v>15</v>
      </c>
      <c r="B3" t="s">
        <v>16</v>
      </c>
      <c r="C3" s="4">
        <v>0.4</v>
      </c>
      <c r="D3" s="4">
        <f>0.1+0.1</f>
        <v>0.2</v>
      </c>
      <c r="E3" s="4">
        <v>0.05</v>
      </c>
      <c r="F3" s="4">
        <v>0.05</v>
      </c>
      <c r="G3" s="4"/>
      <c r="H3" s="4"/>
      <c r="I3" s="4"/>
      <c r="J3" s="4"/>
      <c r="K3" s="4">
        <f>0.05+0.25</f>
        <v>0.3</v>
      </c>
      <c r="L3" s="4"/>
      <c r="M3" s="4"/>
      <c r="N3" s="4">
        <f>0.5*7/12+0.1*5/12</f>
        <v>0.33333333333333337</v>
      </c>
      <c r="O3" s="4"/>
      <c r="P3" s="4">
        <v>0.2</v>
      </c>
      <c r="Q3" s="4"/>
      <c r="R3" s="4"/>
      <c r="S3" s="4"/>
      <c r="T3" s="4"/>
      <c r="U3" s="4"/>
      <c r="V3" s="4"/>
      <c r="W3" s="4"/>
      <c r="X3" s="4">
        <f aca="true" t="shared" si="0" ref="X3:X11">SUM(C3:W3)</f>
        <v>1.5333333333333334</v>
      </c>
      <c r="Y3" s="4">
        <f aca="true" t="shared" si="1" ref="Y3:Y11">X3*12/7</f>
        <v>2.628571428571429</v>
      </c>
      <c r="Z3">
        <v>1.5</v>
      </c>
      <c r="AA3">
        <v>1</v>
      </c>
      <c r="AB3">
        <v>0.8</v>
      </c>
      <c r="AC3" s="5" t="s">
        <v>65</v>
      </c>
    </row>
    <row r="4" spans="1:29" ht="12">
      <c r="A4" t="s">
        <v>66</v>
      </c>
      <c r="B4" t="s">
        <v>67</v>
      </c>
      <c r="C4" s="4"/>
      <c r="D4" s="4">
        <v>0.1</v>
      </c>
      <c r="E4" s="4"/>
      <c r="F4" s="4"/>
      <c r="G4" s="4"/>
      <c r="H4" s="4"/>
      <c r="I4" s="4"/>
      <c r="J4" s="4"/>
      <c r="K4" s="4"/>
      <c r="L4" s="4"/>
      <c r="M4" s="4"/>
      <c r="N4" s="4">
        <f>0.2*5/12</f>
        <v>0.08333333333333333</v>
      </c>
      <c r="O4" s="4"/>
      <c r="P4" s="4">
        <f>9*2.5/50</f>
        <v>0.45</v>
      </c>
      <c r="Q4" s="4">
        <f>16*7/40*6/52+4.5*6/52</f>
        <v>0.8423076923076923</v>
      </c>
      <c r="R4" s="4"/>
      <c r="S4" s="4"/>
      <c r="T4" s="4"/>
      <c r="U4" s="4"/>
      <c r="V4" s="4"/>
      <c r="W4" s="4"/>
      <c r="X4" s="4">
        <f t="shared" si="0"/>
        <v>1.4756410256410257</v>
      </c>
      <c r="Y4" s="4">
        <f t="shared" si="1"/>
        <v>2.52967032967033</v>
      </c>
      <c r="Z4">
        <f>10-Z3</f>
        <v>8.5</v>
      </c>
      <c r="AA4">
        <f>5.5-AA3</f>
        <v>4.5</v>
      </c>
      <c r="AB4">
        <f>1-AB3</f>
        <v>0.19999999999999996</v>
      </c>
      <c r="AC4" s="5"/>
    </row>
    <row r="5" spans="2:29" ht="12">
      <c r="B5" t="s">
        <v>68</v>
      </c>
      <c r="C5" s="4"/>
      <c r="D5" s="4"/>
      <c r="E5" s="4"/>
      <c r="F5" s="4"/>
      <c r="G5" s="4">
        <v>0.15</v>
      </c>
      <c r="H5" s="4"/>
      <c r="I5" s="4"/>
      <c r="J5" s="4"/>
      <c r="K5" s="4"/>
      <c r="L5" s="4"/>
      <c r="M5" s="4">
        <v>0.1</v>
      </c>
      <c r="N5" s="4">
        <f>0.1</f>
        <v>0.1</v>
      </c>
      <c r="O5" s="4"/>
      <c r="P5" s="4"/>
      <c r="Q5" s="4"/>
      <c r="R5" s="4">
        <f>2.5*7/12</f>
        <v>1.4583333333333333</v>
      </c>
      <c r="S5" s="4"/>
      <c r="T5" s="4"/>
      <c r="U5" s="4"/>
      <c r="V5" s="4"/>
      <c r="W5" s="4"/>
      <c r="X5" s="4">
        <f t="shared" si="0"/>
        <v>1.8083333333333331</v>
      </c>
      <c r="Y5" s="4">
        <f t="shared" si="1"/>
        <v>3.099999999999999</v>
      </c>
      <c r="Z5">
        <v>1</v>
      </c>
      <c r="AA5">
        <v>0.25</v>
      </c>
      <c r="AC5" s="5" t="s">
        <v>69</v>
      </c>
    </row>
    <row r="6" spans="2:29" ht="39.75">
      <c r="B6" t="s">
        <v>70</v>
      </c>
      <c r="C6" s="4">
        <v>0.15</v>
      </c>
      <c r="D6" s="4"/>
      <c r="E6" s="4"/>
      <c r="F6" s="4"/>
      <c r="G6" s="4"/>
      <c r="H6" s="4"/>
      <c r="I6" s="4">
        <v>0.1</v>
      </c>
      <c r="J6" s="4"/>
      <c r="K6" s="4"/>
      <c r="L6" s="4"/>
      <c r="M6" s="4"/>
      <c r="N6" s="4"/>
      <c r="O6" s="4">
        <f>24*7/40*(5/12)</f>
        <v>1.7500000000000002</v>
      </c>
      <c r="Q6" s="4"/>
      <c r="R6" s="4"/>
      <c r="S6" s="4">
        <f>(2+4)*7/12</f>
        <v>3.5</v>
      </c>
      <c r="T6" s="4">
        <f>2*7/12</f>
        <v>1.1666666666666667</v>
      </c>
      <c r="U6" s="4">
        <f>(15*0.66+5*0.5+15*0.2)*7/12</f>
        <v>8.983333333333333</v>
      </c>
      <c r="V6" s="4">
        <f>(4*0.66+1*0.5+4*0.2)*7/12</f>
        <v>2.2983333333333333</v>
      </c>
      <c r="W6" s="4"/>
      <c r="X6" s="4">
        <f t="shared" si="0"/>
        <v>17.94833333333333</v>
      </c>
      <c r="Y6" s="4">
        <f t="shared" si="1"/>
        <v>30.768571428571423</v>
      </c>
      <c r="Z6">
        <f>8-Z5</f>
        <v>7</v>
      </c>
      <c r="AA6">
        <f>0.5-AA5</f>
        <v>0.25</v>
      </c>
      <c r="AB6">
        <v>5</v>
      </c>
      <c r="AC6" s="5" t="s">
        <v>71</v>
      </c>
    </row>
    <row r="7" spans="2:29" ht="19.5">
      <c r="B7" t="s">
        <v>72</v>
      </c>
      <c r="C7" s="4"/>
      <c r="D7" s="4">
        <v>0.05</v>
      </c>
      <c r="E7" s="4"/>
      <c r="F7" s="4"/>
      <c r="G7" s="4"/>
      <c r="H7" s="4">
        <v>0.05</v>
      </c>
      <c r="I7" s="4">
        <v>0.6000000000000001</v>
      </c>
      <c r="J7" s="4"/>
      <c r="K7" s="4"/>
      <c r="L7" s="4">
        <v>0.1</v>
      </c>
      <c r="M7" s="4">
        <v>0.1</v>
      </c>
      <c r="N7" s="4"/>
      <c r="O7" s="4"/>
      <c r="P7" s="4">
        <f>0.18+0.1</f>
        <v>0.28</v>
      </c>
      <c r="Q7" s="4">
        <f>0.05</f>
        <v>0.05</v>
      </c>
      <c r="R7" s="4"/>
      <c r="S7" s="4"/>
      <c r="T7" s="4"/>
      <c r="U7" s="4"/>
      <c r="V7" s="4"/>
      <c r="W7" s="4"/>
      <c r="X7" s="4">
        <f t="shared" si="0"/>
        <v>1.2300000000000002</v>
      </c>
      <c r="Y7" s="4">
        <f t="shared" si="1"/>
        <v>2.108571428571429</v>
      </c>
      <c r="AC7" s="5" t="s">
        <v>73</v>
      </c>
    </row>
    <row r="8" spans="2:29" ht="12">
      <c r="B8" t="s">
        <v>74</v>
      </c>
      <c r="C8" s="4"/>
      <c r="D8" s="4"/>
      <c r="E8" s="4"/>
      <c r="F8" s="4"/>
      <c r="G8" s="4"/>
      <c r="H8" s="4"/>
      <c r="I8" s="4"/>
      <c r="J8" s="4">
        <f>2.5*3/52</f>
        <v>0.14423076923076922</v>
      </c>
      <c r="K8" s="4"/>
      <c r="L8" s="4"/>
      <c r="M8" s="4"/>
      <c r="N8" s="4"/>
      <c r="O8" s="4"/>
      <c r="P8" s="4"/>
      <c r="Q8" s="4"/>
      <c r="R8" s="4"/>
      <c r="S8" s="4"/>
      <c r="T8" s="4"/>
      <c r="U8" s="4"/>
      <c r="V8" s="4"/>
      <c r="W8" s="4"/>
      <c r="X8" s="4">
        <f t="shared" si="0"/>
        <v>0.14423076923076922</v>
      </c>
      <c r="Y8" s="4">
        <f t="shared" si="1"/>
        <v>0.24725274725274723</v>
      </c>
      <c r="AC8" s="5"/>
    </row>
    <row r="9" spans="2:29" ht="19.5">
      <c r="B9" t="s">
        <v>17</v>
      </c>
      <c r="C9" s="4">
        <f>5/12</f>
        <v>0.4166666666666667</v>
      </c>
      <c r="D9" s="4"/>
      <c r="E9" s="4">
        <v>0.15</v>
      </c>
      <c r="F9" s="4"/>
      <c r="G9" s="4"/>
      <c r="H9" s="4"/>
      <c r="I9" s="4"/>
      <c r="J9" s="4"/>
      <c r="K9" s="4">
        <v>0.07</v>
      </c>
      <c r="L9" s="4">
        <v>0.05</v>
      </c>
      <c r="M9" s="4"/>
      <c r="N9" s="4"/>
      <c r="O9" s="4"/>
      <c r="P9" s="4">
        <f>8/50+0.2</f>
        <v>0.36</v>
      </c>
      <c r="Q9" s="4"/>
      <c r="R9" s="4"/>
      <c r="S9" s="4"/>
      <c r="T9" s="4"/>
      <c r="U9" s="4"/>
      <c r="V9" s="4"/>
      <c r="W9" s="4"/>
      <c r="X9" s="4">
        <f t="shared" si="0"/>
        <v>1.0466666666666669</v>
      </c>
      <c r="Y9" s="4">
        <f t="shared" si="1"/>
        <v>1.7942857142857147</v>
      </c>
      <c r="AC9" s="5" t="s">
        <v>18</v>
      </c>
    </row>
    <row r="10" spans="2:29" ht="12">
      <c r="B10" t="s">
        <v>19</v>
      </c>
      <c r="C10" s="4"/>
      <c r="D10" s="4"/>
      <c r="E10" s="4"/>
      <c r="F10" s="4">
        <v>0.05</v>
      </c>
      <c r="G10" s="4"/>
      <c r="H10" s="4"/>
      <c r="I10" s="4"/>
      <c r="J10" s="4"/>
      <c r="K10" s="4"/>
      <c r="L10" s="4"/>
      <c r="M10" s="4"/>
      <c r="N10" s="4"/>
      <c r="O10" s="4"/>
      <c r="P10" s="4"/>
      <c r="Q10" s="4"/>
      <c r="R10" s="4"/>
      <c r="S10" s="4"/>
      <c r="T10" s="4"/>
      <c r="U10" s="4"/>
      <c r="V10" s="4"/>
      <c r="W10" s="4"/>
      <c r="X10" s="4">
        <f t="shared" si="0"/>
        <v>0.05</v>
      </c>
      <c r="Y10" s="4">
        <f t="shared" si="1"/>
        <v>0.08571428571428573</v>
      </c>
      <c r="AC10" s="5"/>
    </row>
    <row r="11" spans="2:29" ht="30">
      <c r="B11" t="s">
        <v>20</v>
      </c>
      <c r="C11" s="4"/>
      <c r="D11" s="4"/>
      <c r="E11" s="4"/>
      <c r="F11" s="4"/>
      <c r="G11" s="4"/>
      <c r="H11" s="4"/>
      <c r="I11" s="4"/>
      <c r="J11" s="4"/>
      <c r="K11" s="4"/>
      <c r="L11" s="4"/>
      <c r="M11" s="4"/>
      <c r="N11" s="4"/>
      <c r="O11" s="4"/>
      <c r="P11" s="4"/>
      <c r="Q11" s="4"/>
      <c r="R11" s="4">
        <f>1*7/12</f>
        <v>0.5833333333333334</v>
      </c>
      <c r="S11" s="4"/>
      <c r="T11" s="4">
        <f>0.1*7/12</f>
        <v>0.05833333333333334</v>
      </c>
      <c r="U11" s="4"/>
      <c r="V11" s="4"/>
      <c r="W11" s="4"/>
      <c r="X11" s="4">
        <f t="shared" si="0"/>
        <v>0.6416666666666667</v>
      </c>
      <c r="Y11" s="4">
        <f t="shared" si="1"/>
        <v>1.1</v>
      </c>
      <c r="AC11" s="5" t="s">
        <v>21</v>
      </c>
    </row>
    <row r="12" spans="2:29" ht="19.5">
      <c r="B12" t="s">
        <v>54</v>
      </c>
      <c r="C12" s="6" t="s">
        <v>55</v>
      </c>
      <c r="D12" s="6" t="s">
        <v>56</v>
      </c>
      <c r="E12" s="6" t="s">
        <v>56</v>
      </c>
      <c r="F12" s="6" t="s">
        <v>55</v>
      </c>
      <c r="G12" s="6" t="s">
        <v>55</v>
      </c>
      <c r="H12" s="6" t="s">
        <v>55</v>
      </c>
      <c r="I12" s="6" t="s">
        <v>56</v>
      </c>
      <c r="J12" s="6" t="s">
        <v>55</v>
      </c>
      <c r="K12" s="6" t="s">
        <v>55</v>
      </c>
      <c r="L12" s="6" t="s">
        <v>55</v>
      </c>
      <c r="M12" s="6" t="s">
        <v>56</v>
      </c>
      <c r="N12" s="6" t="s">
        <v>57</v>
      </c>
      <c r="O12" s="6" t="s">
        <v>57</v>
      </c>
      <c r="P12" s="6" t="s">
        <v>56</v>
      </c>
      <c r="Q12" s="6" t="s">
        <v>57</v>
      </c>
      <c r="R12" s="4"/>
      <c r="S12" s="4"/>
      <c r="T12" s="4"/>
      <c r="U12" s="4"/>
      <c r="V12" s="4"/>
      <c r="W12" s="4"/>
      <c r="AC12" s="5" t="s">
        <v>58</v>
      </c>
    </row>
    <row r="13" spans="3:23" ht="12">
      <c r="C13" s="4"/>
      <c r="D13" s="4"/>
      <c r="E13" s="4"/>
      <c r="F13" s="4"/>
      <c r="G13" s="4"/>
      <c r="H13" s="4"/>
      <c r="I13" s="4"/>
      <c r="J13" s="4"/>
      <c r="K13" s="4"/>
      <c r="L13" s="4"/>
      <c r="M13" s="4"/>
      <c r="N13" s="4"/>
      <c r="O13" s="4"/>
      <c r="P13" s="4"/>
      <c r="Q13" s="4"/>
      <c r="R13" s="4"/>
      <c r="S13" s="4"/>
      <c r="T13" s="4"/>
      <c r="U13" s="4"/>
      <c r="V13" s="4"/>
      <c r="W13" s="4"/>
    </row>
    <row r="14" spans="1:24" ht="12">
      <c r="A14" t="s">
        <v>59</v>
      </c>
      <c r="B14" t="s">
        <v>60</v>
      </c>
      <c r="C14" s="4"/>
      <c r="D14" s="4">
        <v>0.1</v>
      </c>
      <c r="E14" s="4"/>
      <c r="F14" s="4">
        <v>0.05</v>
      </c>
      <c r="G14" s="4"/>
      <c r="H14" s="4"/>
      <c r="I14" s="4"/>
      <c r="J14" s="4"/>
      <c r="K14" s="4">
        <v>0.05</v>
      </c>
      <c r="L14" s="4"/>
      <c r="M14" s="4"/>
      <c r="N14" s="4">
        <v>0.6000000000000001</v>
      </c>
      <c r="O14" s="4"/>
      <c r="P14" s="4"/>
      <c r="Q14" s="4"/>
      <c r="R14" s="4"/>
      <c r="S14" s="4"/>
      <c r="T14" s="4"/>
      <c r="U14" s="4"/>
      <c r="V14" s="4"/>
      <c r="W14" s="4"/>
      <c r="X14" s="4">
        <f aca="true" t="shared" si="2" ref="X14:X22">SUM(C14:W14)</f>
        <v>0.8</v>
      </c>
    </row>
    <row r="15" spans="2:24" ht="12">
      <c r="B15" t="s">
        <v>61</v>
      </c>
      <c r="C15" s="4"/>
      <c r="D15" s="4">
        <v>0.1</v>
      </c>
      <c r="E15" s="4"/>
      <c r="F15" s="4"/>
      <c r="G15" s="4"/>
      <c r="H15" s="4"/>
      <c r="I15" s="4"/>
      <c r="J15" s="4"/>
      <c r="K15" s="4"/>
      <c r="L15" s="4"/>
      <c r="M15" s="4"/>
      <c r="N15" s="4">
        <f>0.15</f>
        <v>0.15</v>
      </c>
      <c r="O15" s="4"/>
      <c r="P15" s="4"/>
      <c r="Q15" s="4"/>
      <c r="R15" s="4"/>
      <c r="S15" s="4"/>
      <c r="T15" s="4"/>
      <c r="U15" s="4"/>
      <c r="V15" s="4"/>
      <c r="W15" s="4"/>
      <c r="X15" s="4">
        <f t="shared" si="2"/>
        <v>0.25</v>
      </c>
    </row>
    <row r="16" spans="2:24" ht="12">
      <c r="B16" t="s">
        <v>68</v>
      </c>
      <c r="C16" s="4"/>
      <c r="D16" s="4"/>
      <c r="E16" s="4"/>
      <c r="F16" s="4"/>
      <c r="G16" s="4">
        <v>0.1</v>
      </c>
      <c r="H16" s="4"/>
      <c r="I16" s="4"/>
      <c r="J16" s="4"/>
      <c r="K16" s="4"/>
      <c r="L16" s="4"/>
      <c r="M16" s="4">
        <v>0.1</v>
      </c>
      <c r="N16" s="4">
        <v>0.05</v>
      </c>
      <c r="O16" s="4"/>
      <c r="P16" s="4"/>
      <c r="Q16" s="4"/>
      <c r="R16" s="4">
        <v>2.5</v>
      </c>
      <c r="S16" s="4"/>
      <c r="T16" s="4"/>
      <c r="U16" s="4"/>
      <c r="V16" s="4"/>
      <c r="W16" s="4"/>
      <c r="X16" s="4">
        <f t="shared" si="2"/>
        <v>2.75</v>
      </c>
    </row>
    <row r="17" spans="2:29" ht="12">
      <c r="B17" t="s">
        <v>70</v>
      </c>
      <c r="C17" s="4"/>
      <c r="D17" s="4"/>
      <c r="E17" s="4"/>
      <c r="F17" s="4"/>
      <c r="G17" s="4"/>
      <c r="H17" s="4"/>
      <c r="I17" s="4">
        <v>0.05</v>
      </c>
      <c r="J17" s="4"/>
      <c r="K17" s="4"/>
      <c r="L17" s="4"/>
      <c r="M17" s="4"/>
      <c r="N17" s="4"/>
      <c r="O17" s="4">
        <f>24*7/40</f>
        <v>4.2</v>
      </c>
      <c r="P17" s="4"/>
      <c r="Q17" s="4"/>
      <c r="R17" s="4"/>
      <c r="S17" s="4">
        <v>6</v>
      </c>
      <c r="T17" s="4">
        <v>1.5</v>
      </c>
      <c r="U17" s="4">
        <f>(12*0.66+4*0.5+10*0.2)</f>
        <v>11.92</v>
      </c>
      <c r="V17" s="4">
        <f>(3*0.66+1*0.5+4*0.2)</f>
        <v>3.2800000000000002</v>
      </c>
      <c r="W17" s="4">
        <f>(6*0.66+2*0.5+8*0.2)</f>
        <v>6.5600000000000005</v>
      </c>
      <c r="X17" s="4">
        <f t="shared" si="2"/>
        <v>33.510000000000005</v>
      </c>
      <c r="AC17" s="5" t="s">
        <v>62</v>
      </c>
    </row>
    <row r="18" spans="2:24" ht="12">
      <c r="B18" t="s">
        <v>72</v>
      </c>
      <c r="C18" s="4"/>
      <c r="D18" s="4">
        <v>0.05</v>
      </c>
      <c r="E18" s="4"/>
      <c r="F18" s="4"/>
      <c r="G18" s="4"/>
      <c r="H18" s="4">
        <v>0.05</v>
      </c>
      <c r="I18" s="4">
        <v>0.05</v>
      </c>
      <c r="J18" s="4"/>
      <c r="K18" s="4"/>
      <c r="L18" s="4">
        <v>0.05</v>
      </c>
      <c r="M18" s="4">
        <v>0.1</v>
      </c>
      <c r="N18" s="4"/>
      <c r="O18" s="4"/>
      <c r="P18" s="4"/>
      <c r="Q18" s="4"/>
      <c r="R18" s="4"/>
      <c r="S18" s="4"/>
      <c r="T18" s="4"/>
      <c r="U18" s="4"/>
      <c r="V18" s="4"/>
      <c r="W18" s="4"/>
      <c r="X18" s="4">
        <f t="shared" si="2"/>
        <v>0.30000000000000004</v>
      </c>
    </row>
    <row r="19" spans="2:24" ht="12">
      <c r="B19" t="s">
        <v>74</v>
      </c>
      <c r="C19" s="4"/>
      <c r="D19" s="4"/>
      <c r="E19" s="4"/>
      <c r="F19" s="4"/>
      <c r="G19" s="4"/>
      <c r="H19" s="4"/>
      <c r="I19" s="4"/>
      <c r="J19" s="4">
        <f>2.5*3/52</f>
        <v>0.14423076923076922</v>
      </c>
      <c r="K19" s="4"/>
      <c r="L19" s="4"/>
      <c r="M19" s="4"/>
      <c r="N19" s="4"/>
      <c r="O19" s="4"/>
      <c r="P19" s="4"/>
      <c r="Q19" s="4"/>
      <c r="R19" s="4"/>
      <c r="S19" s="4"/>
      <c r="T19" s="4"/>
      <c r="U19" s="4"/>
      <c r="V19" s="4"/>
      <c r="W19" s="4"/>
      <c r="X19" s="4">
        <f t="shared" si="2"/>
        <v>0.14423076923076922</v>
      </c>
    </row>
    <row r="20" spans="2:24" ht="12">
      <c r="B20" t="s">
        <v>17</v>
      </c>
      <c r="C20" s="4"/>
      <c r="D20" s="4"/>
      <c r="E20" s="4">
        <v>0.05</v>
      </c>
      <c r="F20" s="4"/>
      <c r="G20" s="4"/>
      <c r="H20" s="4"/>
      <c r="I20" s="4"/>
      <c r="J20" s="4"/>
      <c r="K20" s="4"/>
      <c r="L20" s="4">
        <v>0.05</v>
      </c>
      <c r="M20" s="4"/>
      <c r="N20" s="4"/>
      <c r="O20" s="4"/>
      <c r="P20" s="4"/>
      <c r="Q20" s="4"/>
      <c r="R20" s="4"/>
      <c r="S20" s="4"/>
      <c r="T20" s="4"/>
      <c r="U20" s="4"/>
      <c r="V20" s="4"/>
      <c r="W20" s="4"/>
      <c r="X20" s="4">
        <f t="shared" si="2"/>
        <v>0.1</v>
      </c>
    </row>
    <row r="21" spans="2:24" ht="12">
      <c r="B21" t="s">
        <v>19</v>
      </c>
      <c r="C21" s="4"/>
      <c r="D21" s="4"/>
      <c r="E21" s="4"/>
      <c r="F21" s="4">
        <v>0.05</v>
      </c>
      <c r="G21" s="4"/>
      <c r="H21" s="4"/>
      <c r="I21" s="4"/>
      <c r="J21" s="4"/>
      <c r="K21" s="4"/>
      <c r="L21" s="4"/>
      <c r="M21" s="4"/>
      <c r="N21" s="4"/>
      <c r="O21" s="4"/>
      <c r="P21" s="4"/>
      <c r="Q21" s="4"/>
      <c r="R21" s="4"/>
      <c r="S21" s="4"/>
      <c r="T21" s="4"/>
      <c r="U21" s="4"/>
      <c r="V21" s="4"/>
      <c r="W21" s="4"/>
      <c r="X21" s="4">
        <f t="shared" si="2"/>
        <v>0.05</v>
      </c>
    </row>
    <row r="22" spans="2:24" ht="12">
      <c r="B22" t="s">
        <v>20</v>
      </c>
      <c r="R22" s="4">
        <v>0.75</v>
      </c>
      <c r="S22" s="4"/>
      <c r="T22" s="4">
        <v>0.1</v>
      </c>
      <c r="U22" s="4"/>
      <c r="V22" s="4"/>
      <c r="W22" s="4"/>
      <c r="X22" s="4">
        <f t="shared" si="2"/>
        <v>0.85</v>
      </c>
    </row>
    <row r="24" spans="1:24" ht="12">
      <c r="A24" t="s">
        <v>63</v>
      </c>
      <c r="B24" t="s">
        <v>60</v>
      </c>
      <c r="C24" s="4"/>
      <c r="D24" s="4">
        <v>0.1</v>
      </c>
      <c r="E24" s="4"/>
      <c r="F24" s="4">
        <v>0.05</v>
      </c>
      <c r="G24" s="4"/>
      <c r="H24" s="4"/>
      <c r="I24" s="4"/>
      <c r="J24" s="4"/>
      <c r="K24" s="4">
        <v>0.05</v>
      </c>
      <c r="L24" s="4"/>
      <c r="M24" s="4"/>
      <c r="N24" s="4">
        <v>0.6000000000000001</v>
      </c>
      <c r="O24" s="4"/>
      <c r="P24" s="4"/>
      <c r="Q24" s="4"/>
      <c r="R24" s="4"/>
      <c r="S24" s="4"/>
      <c r="T24" s="4"/>
      <c r="U24" s="4"/>
      <c r="V24" s="4"/>
      <c r="W24" s="4"/>
      <c r="X24" s="4">
        <f aca="true" t="shared" si="3" ref="X24:X32">SUM(C24:W24)</f>
        <v>0.8</v>
      </c>
    </row>
    <row r="25" spans="2:24" ht="12">
      <c r="B25" t="s">
        <v>61</v>
      </c>
      <c r="C25" s="4"/>
      <c r="D25" s="4">
        <v>0.1</v>
      </c>
      <c r="E25" s="4"/>
      <c r="F25" s="4"/>
      <c r="G25" s="4"/>
      <c r="H25" s="4"/>
      <c r="I25" s="4"/>
      <c r="J25" s="4"/>
      <c r="K25" s="4"/>
      <c r="L25" s="4"/>
      <c r="M25" s="4"/>
      <c r="N25" s="4">
        <f>0.15</f>
        <v>0.15</v>
      </c>
      <c r="O25" s="4"/>
      <c r="P25" s="4"/>
      <c r="Q25" s="4"/>
      <c r="R25" s="4"/>
      <c r="S25" s="4"/>
      <c r="T25" s="4"/>
      <c r="U25" s="4"/>
      <c r="V25" s="4"/>
      <c r="W25" s="4"/>
      <c r="X25" s="4">
        <f t="shared" si="3"/>
        <v>0.25</v>
      </c>
    </row>
    <row r="26" spans="2:24" ht="12">
      <c r="B26" t="s">
        <v>68</v>
      </c>
      <c r="C26" s="4"/>
      <c r="D26" s="4"/>
      <c r="E26" s="4"/>
      <c r="F26" s="4"/>
      <c r="G26" s="4">
        <v>0.1</v>
      </c>
      <c r="H26" s="4"/>
      <c r="I26" s="4"/>
      <c r="J26" s="4"/>
      <c r="K26" s="4"/>
      <c r="L26" s="4"/>
      <c r="M26" s="4">
        <v>0.1</v>
      </c>
      <c r="N26" s="4">
        <v>0.05</v>
      </c>
      <c r="O26" s="4"/>
      <c r="P26" s="4"/>
      <c r="Q26" s="4"/>
      <c r="R26" s="4">
        <v>2</v>
      </c>
      <c r="S26" s="4"/>
      <c r="T26" s="4"/>
      <c r="U26" s="4"/>
      <c r="V26" s="4"/>
      <c r="W26" s="4"/>
      <c r="X26" s="4">
        <f t="shared" si="3"/>
        <v>2.25</v>
      </c>
    </row>
    <row r="27" spans="2:29" ht="19.5">
      <c r="B27" t="s">
        <v>70</v>
      </c>
      <c r="C27" s="4"/>
      <c r="D27" s="4"/>
      <c r="E27" s="4"/>
      <c r="F27" s="4"/>
      <c r="G27" s="4"/>
      <c r="H27" s="4"/>
      <c r="I27" s="4">
        <v>0.05</v>
      </c>
      <c r="J27" s="4"/>
      <c r="K27" s="4"/>
      <c r="L27" s="4"/>
      <c r="M27" s="4"/>
      <c r="N27" s="4"/>
      <c r="O27" s="4">
        <f>24*7/40</f>
        <v>4.2</v>
      </c>
      <c r="P27" s="4"/>
      <c r="Q27" s="4"/>
      <c r="R27" s="4"/>
      <c r="S27" s="4">
        <v>4</v>
      </c>
      <c r="T27" s="4">
        <v>1.5</v>
      </c>
      <c r="U27" s="4">
        <f>(8*0.66+3*0.5+8*0.2)</f>
        <v>8.38</v>
      </c>
      <c r="V27" s="4">
        <f>(2*0.66+0.5*0.5+3*0.2)</f>
        <v>2.17</v>
      </c>
      <c r="W27" s="4">
        <f>(9*0.66+2*0.5+10*0.2)</f>
        <v>8.940000000000001</v>
      </c>
      <c r="X27" s="4">
        <f t="shared" si="3"/>
        <v>29.240000000000006</v>
      </c>
      <c r="AC27" s="5" t="s">
        <v>64</v>
      </c>
    </row>
    <row r="28" spans="2:24" ht="12">
      <c r="B28" t="s">
        <v>72</v>
      </c>
      <c r="C28" s="4"/>
      <c r="D28" s="4">
        <v>0.05</v>
      </c>
      <c r="E28" s="4"/>
      <c r="F28" s="4"/>
      <c r="G28" s="4"/>
      <c r="H28" s="4">
        <v>0.05</v>
      </c>
      <c r="I28" s="4">
        <v>0.05</v>
      </c>
      <c r="J28" s="4"/>
      <c r="K28" s="4"/>
      <c r="L28" s="4">
        <v>0.05</v>
      </c>
      <c r="M28" s="4">
        <v>0.1</v>
      </c>
      <c r="N28" s="4"/>
      <c r="O28" s="4"/>
      <c r="P28" s="4"/>
      <c r="Q28" s="4"/>
      <c r="R28" s="4"/>
      <c r="S28" s="4"/>
      <c r="T28" s="4"/>
      <c r="U28" s="4"/>
      <c r="V28" s="4"/>
      <c r="W28" s="4"/>
      <c r="X28" s="4">
        <f t="shared" si="3"/>
        <v>0.30000000000000004</v>
      </c>
    </row>
    <row r="29" spans="2:24" ht="12">
      <c r="B29" t="s">
        <v>74</v>
      </c>
      <c r="C29" s="4"/>
      <c r="D29" s="4"/>
      <c r="E29" s="4"/>
      <c r="F29" s="4"/>
      <c r="G29" s="4"/>
      <c r="H29" s="4"/>
      <c r="I29" s="4"/>
      <c r="J29" s="4">
        <f>2.5*3/52</f>
        <v>0.14423076923076922</v>
      </c>
      <c r="K29" s="4"/>
      <c r="L29" s="4"/>
      <c r="M29" s="4"/>
      <c r="N29" s="4"/>
      <c r="O29" s="4"/>
      <c r="P29" s="4"/>
      <c r="Q29" s="4"/>
      <c r="R29" s="4"/>
      <c r="S29" s="4"/>
      <c r="T29" s="4"/>
      <c r="U29" s="4"/>
      <c r="V29" s="4"/>
      <c r="W29" s="4"/>
      <c r="X29" s="4">
        <f t="shared" si="3"/>
        <v>0.14423076923076922</v>
      </c>
    </row>
    <row r="30" spans="2:24" ht="12">
      <c r="B30" t="s">
        <v>17</v>
      </c>
      <c r="C30" s="4"/>
      <c r="D30" s="4"/>
      <c r="E30" s="4">
        <v>0.05</v>
      </c>
      <c r="F30" s="4"/>
      <c r="G30" s="4"/>
      <c r="H30" s="4"/>
      <c r="I30" s="4"/>
      <c r="J30" s="4"/>
      <c r="K30" s="4"/>
      <c r="L30" s="4">
        <v>0.05</v>
      </c>
      <c r="M30" s="4"/>
      <c r="N30" s="4"/>
      <c r="O30" s="4"/>
      <c r="P30" s="4"/>
      <c r="Q30" s="4"/>
      <c r="R30" s="4"/>
      <c r="S30" s="4"/>
      <c r="T30" s="4"/>
      <c r="U30" s="4"/>
      <c r="V30" s="4"/>
      <c r="W30" s="4"/>
      <c r="X30" s="4">
        <f t="shared" si="3"/>
        <v>0.1</v>
      </c>
    </row>
    <row r="31" spans="2:24" ht="12">
      <c r="B31" t="s">
        <v>19</v>
      </c>
      <c r="C31" s="4"/>
      <c r="D31" s="4"/>
      <c r="E31" s="4"/>
      <c r="F31" s="4">
        <v>0.05</v>
      </c>
      <c r="G31" s="4"/>
      <c r="H31" s="4"/>
      <c r="I31" s="4"/>
      <c r="J31" s="4"/>
      <c r="K31" s="4"/>
      <c r="L31" s="4"/>
      <c r="M31" s="4"/>
      <c r="N31" s="4"/>
      <c r="O31" s="4"/>
      <c r="P31" s="4"/>
      <c r="Q31" s="4"/>
      <c r="R31" s="4"/>
      <c r="S31" s="4"/>
      <c r="T31" s="4"/>
      <c r="U31" s="4"/>
      <c r="V31" s="4"/>
      <c r="W31" s="4"/>
      <c r="X31" s="4">
        <f t="shared" si="3"/>
        <v>0.05</v>
      </c>
    </row>
    <row r="32" spans="2:24" ht="12">
      <c r="B32" t="s">
        <v>20</v>
      </c>
      <c r="R32" s="4">
        <v>0.75</v>
      </c>
      <c r="S32" s="4"/>
      <c r="T32" s="4">
        <v>0.1</v>
      </c>
      <c r="U32" s="4"/>
      <c r="V32" s="4"/>
      <c r="W32" s="4"/>
      <c r="X32" s="4">
        <f t="shared" si="3"/>
        <v>0.85</v>
      </c>
    </row>
  </sheetData>
  <sheetProtection selectLockedCells="1" selectUnlockedCells="1"/>
  <mergeCells count="3">
    <mergeCell ref="R2:S2"/>
    <mergeCell ref="T2:W2"/>
    <mergeCell ref="Z2:AB2"/>
  </mergeCells>
  <printOptions headings="1"/>
  <pageMargins left="0.7875" right="0.7875" top="1.0527777777777778" bottom="1.0527777777777778" header="0.7875" footer="0.7875"/>
  <pageSetup firstPageNumber="1" useFirstPageNumber="1" fitToWidth="5" fitToHeight="1" horizontalDpi="300" verticalDpi="300" orientation="landscape"/>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G20"/>
  <sheetViews>
    <sheetView tabSelected="1" workbookViewId="0" topLeftCell="A1">
      <selection activeCell="A2" sqref="A2"/>
    </sheetView>
  </sheetViews>
  <sheetFormatPr defaultColWidth="11.421875" defaultRowHeight="12.75"/>
  <cols>
    <col min="1" max="1" width="119.421875" style="0" customWidth="1"/>
    <col min="2" max="2" width="17.7109375" style="0" customWidth="1"/>
    <col min="4" max="4" width="87.00390625" style="0" customWidth="1"/>
  </cols>
  <sheetData>
    <row r="1" spans="1:7" ht="16.5">
      <c r="A1" s="9"/>
      <c r="B1" s="8"/>
      <c r="C1" s="9"/>
      <c r="D1" s="9"/>
      <c r="E1" s="9"/>
      <c r="F1" s="9"/>
      <c r="G1" s="10"/>
    </row>
    <row r="2" spans="1:7" ht="51" customHeight="1">
      <c r="A2" s="11" t="s">
        <v>9</v>
      </c>
      <c r="B2" s="8" t="s">
        <v>0</v>
      </c>
      <c r="C2" s="9"/>
      <c r="D2" s="9" t="s">
        <v>1</v>
      </c>
      <c r="E2" s="9"/>
      <c r="F2" s="9"/>
      <c r="G2" s="10"/>
    </row>
    <row r="3" spans="1:7" ht="16.5">
      <c r="A3" s="9"/>
      <c r="B3" s="8"/>
      <c r="C3" s="9"/>
      <c r="D3" s="9"/>
      <c r="E3" s="9"/>
      <c r="F3" s="9"/>
      <c r="G3" s="10"/>
    </row>
    <row r="4" spans="1:7" ht="30" customHeight="1">
      <c r="A4" s="9" t="s">
        <v>2</v>
      </c>
      <c r="B4" s="8" t="s">
        <v>3</v>
      </c>
      <c r="C4" s="9"/>
      <c r="D4" s="9"/>
      <c r="E4" s="9"/>
      <c r="F4" s="9"/>
      <c r="G4" s="10"/>
    </row>
    <row r="5" spans="1:7" ht="34.5" customHeight="1">
      <c r="A5" s="9" t="s">
        <v>4</v>
      </c>
      <c r="B5" s="8" t="s">
        <v>5</v>
      </c>
      <c r="C5" s="9"/>
      <c r="D5" s="9"/>
      <c r="E5" s="9"/>
      <c r="F5" s="9"/>
      <c r="G5" s="10"/>
    </row>
    <row r="6" spans="1:7" ht="33" customHeight="1">
      <c r="A6" s="9" t="s">
        <v>6</v>
      </c>
      <c r="B6" s="8" t="s">
        <v>7</v>
      </c>
      <c r="C6" s="9"/>
      <c r="D6" s="9" t="s">
        <v>8</v>
      </c>
      <c r="E6" s="9"/>
      <c r="F6" s="9"/>
      <c r="G6" s="10"/>
    </row>
    <row r="7" spans="1:7" ht="16.5">
      <c r="A7" s="9"/>
      <c r="B7" s="8"/>
      <c r="C7" s="9"/>
      <c r="D7" s="9"/>
      <c r="E7" s="9"/>
      <c r="F7" s="9"/>
      <c r="G7" s="10"/>
    </row>
    <row r="8" spans="1:7" ht="16.5">
      <c r="A8" s="9"/>
      <c r="B8" s="8"/>
      <c r="C8" s="9"/>
      <c r="D8" s="9"/>
      <c r="E8" s="9"/>
      <c r="F8" s="9"/>
      <c r="G8" s="10"/>
    </row>
    <row r="9" spans="1:7" ht="16.5">
      <c r="A9" s="9"/>
      <c r="B9" s="9"/>
      <c r="C9" s="9"/>
      <c r="D9" s="9"/>
      <c r="E9" s="9"/>
      <c r="F9" s="9"/>
      <c r="G9" s="10"/>
    </row>
    <row r="10" spans="1:7" ht="16.5">
      <c r="A10" s="9"/>
      <c r="B10" s="9"/>
      <c r="C10" s="9"/>
      <c r="D10" s="9"/>
      <c r="E10" s="9"/>
      <c r="F10" s="9"/>
      <c r="G10" s="10"/>
    </row>
    <row r="11" spans="1:7" ht="16.5">
      <c r="A11" s="9"/>
      <c r="B11" s="9"/>
      <c r="C11" s="9"/>
      <c r="D11" s="9"/>
      <c r="E11" s="9"/>
      <c r="F11" s="9"/>
      <c r="G11" s="10"/>
    </row>
    <row r="12" spans="1:7" ht="16.5">
      <c r="A12" s="9"/>
      <c r="B12" s="9"/>
      <c r="C12" s="9"/>
      <c r="D12" s="9"/>
      <c r="E12" s="9"/>
      <c r="F12" s="9"/>
      <c r="G12" s="10"/>
    </row>
    <row r="13" spans="1:7" ht="16.5">
      <c r="A13" s="9"/>
      <c r="B13" s="9"/>
      <c r="C13" s="9"/>
      <c r="D13" s="9"/>
      <c r="E13" s="9"/>
      <c r="F13" s="9"/>
      <c r="G13" s="10"/>
    </row>
    <row r="14" spans="1:7" ht="16.5">
      <c r="A14" s="9"/>
      <c r="B14" s="9"/>
      <c r="C14" s="9"/>
      <c r="D14" s="9"/>
      <c r="E14" s="9"/>
      <c r="F14" s="9"/>
      <c r="G14" s="10"/>
    </row>
    <row r="15" spans="1:7" ht="16.5">
      <c r="A15" s="9"/>
      <c r="B15" s="9"/>
      <c r="C15" s="9"/>
      <c r="D15" s="9"/>
      <c r="E15" s="9"/>
      <c r="F15" s="9"/>
      <c r="G15" s="10"/>
    </row>
    <row r="16" spans="1:7" ht="16.5">
      <c r="A16" s="9"/>
      <c r="B16" s="9"/>
      <c r="C16" s="9"/>
      <c r="D16" s="9"/>
      <c r="E16" s="9"/>
      <c r="F16" s="9"/>
      <c r="G16" s="10"/>
    </row>
    <row r="17" spans="1:7" ht="16.5">
      <c r="A17" s="9"/>
      <c r="B17" s="9"/>
      <c r="C17" s="9"/>
      <c r="D17" s="9"/>
      <c r="E17" s="9"/>
      <c r="F17" s="9"/>
      <c r="G17" s="10"/>
    </row>
    <row r="18" spans="1:7" ht="16.5">
      <c r="A18" s="9"/>
      <c r="B18" s="9"/>
      <c r="C18" s="9"/>
      <c r="D18" s="9"/>
      <c r="E18" s="9"/>
      <c r="F18" s="9"/>
      <c r="G18" s="10"/>
    </row>
    <row r="19" spans="1:7" ht="16.5">
      <c r="A19" s="9"/>
      <c r="B19" s="9"/>
      <c r="C19" s="9"/>
      <c r="D19" s="9"/>
      <c r="E19" s="9"/>
      <c r="F19" s="9"/>
      <c r="G19" s="10"/>
    </row>
    <row r="20" spans="1:7" ht="16.5">
      <c r="A20" s="9"/>
      <c r="B20" s="9"/>
      <c r="C20" s="9"/>
      <c r="D20" s="9"/>
      <c r="E20" s="9"/>
      <c r="F20" s="9"/>
      <c r="G20" s="10"/>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Douglas Glenzinski</cp:lastModifiedBy>
  <dcterms:modified xsi:type="dcterms:W3CDTF">2013-02-20T00:50:55Z</dcterms:modified>
  <cp:category/>
  <cp:version/>
  <cp:contentType/>
  <cp:contentStatus/>
</cp:coreProperties>
</file>