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40" windowWidth="19440" windowHeight="7815"/>
  </bookViews>
  <sheets>
    <sheet name="MAP stages" sheetId="4" r:id="rId1"/>
    <sheet name="Scenarios" sheetId="1" r:id="rId2"/>
  </sheets>
  <definedNames>
    <definedName name="c_" localSheetId="0">'MAP stages'!$N$4</definedName>
    <definedName name="c_">Scenarios!$O$4</definedName>
    <definedName name="e" localSheetId="0">'MAP stages'!$N$3</definedName>
    <definedName name="e">Scenarios!$O$3</definedName>
    <definedName name="me" localSheetId="0">'MAP stages'!$N$8</definedName>
    <definedName name="me">Scenarios!$O$8</definedName>
    <definedName name="mmu" localSheetId="0">'MAP stages'!$N$7</definedName>
    <definedName name="mmu">Scenarios!$O$7</definedName>
    <definedName name="mp" localSheetId="0">'MAP stages'!$N$5</definedName>
    <definedName name="mp">Scenarios!$O$5</definedName>
    <definedName name="mpi" localSheetId="0">'MAP stages'!$N$6</definedName>
    <definedName name="mpi">Scenarios!$O$6</definedName>
    <definedName name="pi" localSheetId="0">'MAP stages'!$N$2</definedName>
    <definedName name="pi">Scenarios!$O$2</definedName>
    <definedName name="rmu" localSheetId="0">'MAP stages'!$N$10</definedName>
    <definedName name="rmu">Scenarios!$O$10</definedName>
    <definedName name="rp" localSheetId="0">'MAP stages'!$N$9</definedName>
    <definedName name="rp">Scenarios!$O$9</definedName>
    <definedName name="taumu" localSheetId="0">'MAP stages'!$N$11</definedName>
    <definedName name="taumu">Scenarios!$O$11</definedName>
  </definedNames>
  <calcPr calcId="145621"/>
</workbook>
</file>

<file path=xl/calcChain.xml><?xml version="1.0" encoding="utf-8"?>
<calcChain xmlns="http://schemas.openxmlformats.org/spreadsheetml/2006/main">
  <c r="C75" i="4" l="1"/>
  <c r="B75" i="4"/>
  <c r="B28" i="4"/>
  <c r="B31" i="4"/>
  <c r="B62" i="4" s="1"/>
  <c r="B63" i="4" s="1"/>
  <c r="B64" i="4" s="1"/>
  <c r="B65" i="4" l="1"/>
  <c r="B66" i="4" s="1"/>
  <c r="N17" i="4" l="1"/>
  <c r="E25" i="4"/>
  <c r="S49" i="4" l="1"/>
  <c r="S50" i="4" s="1"/>
  <c r="S17" i="4"/>
  <c r="S20" i="4" s="1"/>
  <c r="G28" i="4"/>
  <c r="G31" i="4" s="1"/>
  <c r="G24" i="4"/>
  <c r="G25" i="4" s="1"/>
  <c r="G22" i="4"/>
  <c r="G19" i="4"/>
  <c r="G14" i="4"/>
  <c r="E48" i="4"/>
  <c r="R49" i="4"/>
  <c r="R52" i="4" s="1"/>
  <c r="Q49" i="4"/>
  <c r="Q52" i="4" s="1"/>
  <c r="P49" i="4"/>
  <c r="P52" i="4" s="1"/>
  <c r="O49" i="4"/>
  <c r="O52" i="4" s="1"/>
  <c r="R17" i="4"/>
  <c r="R20" i="4" s="1"/>
  <c r="Q17" i="4"/>
  <c r="Q20" i="4" s="1"/>
  <c r="P17" i="4"/>
  <c r="P20" i="4" s="1"/>
  <c r="O17" i="4"/>
  <c r="O20" i="4" s="1"/>
  <c r="N18" i="4"/>
  <c r="N19" i="4" s="1"/>
  <c r="E30" i="4"/>
  <c r="E28" i="4"/>
  <c r="E31" i="4" s="1"/>
  <c r="E24" i="4"/>
  <c r="E22" i="4"/>
  <c r="E19" i="4"/>
  <c r="E14" i="4"/>
  <c r="N20" i="4" l="1"/>
  <c r="N21" i="4" s="1"/>
  <c r="S51" i="4"/>
  <c r="G50" i="4"/>
  <c r="S18" i="4"/>
  <c r="G36" i="4" s="1"/>
  <c r="S52" i="4"/>
  <c r="G62" i="4"/>
  <c r="G63" i="4" s="1"/>
  <c r="G32" i="4"/>
  <c r="G33" i="4" s="1"/>
  <c r="G30" i="4"/>
  <c r="O50" i="4"/>
  <c r="Q50" i="4"/>
  <c r="E50" i="4" s="1"/>
  <c r="E54" i="4" s="1"/>
  <c r="P50" i="4"/>
  <c r="R50" i="4"/>
  <c r="F50" i="4" s="1"/>
  <c r="F54" i="4" s="1"/>
  <c r="O18" i="4"/>
  <c r="Q18" i="4"/>
  <c r="E36" i="4" s="1"/>
  <c r="P18" i="4"/>
  <c r="R18" i="4"/>
  <c r="F36" i="4" s="1"/>
  <c r="E62" i="4"/>
  <c r="E63" i="4" s="1"/>
  <c r="E32" i="4"/>
  <c r="E33" i="4" s="1"/>
  <c r="O49" i="1"/>
  <c r="N49" i="4"/>
  <c r="N52" i="4" s="1"/>
  <c r="B29" i="4"/>
  <c r="F28" i="4"/>
  <c r="F30" i="4" s="1"/>
  <c r="D28" i="4"/>
  <c r="D31" i="4" s="1"/>
  <c r="D62" i="4" s="1"/>
  <c r="D63" i="4" s="1"/>
  <c r="D64" i="4" s="1"/>
  <c r="C28" i="4"/>
  <c r="C30" i="4" s="1"/>
  <c r="B30" i="4"/>
  <c r="F24" i="4"/>
  <c r="F25" i="4" s="1"/>
  <c r="B24" i="4"/>
  <c r="B25" i="4" s="1"/>
  <c r="D23" i="4"/>
  <c r="D24" i="4" s="1"/>
  <c r="C23" i="4"/>
  <c r="C24" i="4" s="1"/>
  <c r="F22" i="4"/>
  <c r="D22" i="4"/>
  <c r="C22" i="4"/>
  <c r="B22" i="4"/>
  <c r="F19" i="4"/>
  <c r="D19" i="4"/>
  <c r="C19" i="4"/>
  <c r="B19" i="4"/>
  <c r="F14" i="4"/>
  <c r="D14" i="4"/>
  <c r="C14" i="4"/>
  <c r="B14" i="4"/>
  <c r="N10" i="4"/>
  <c r="C19" i="1"/>
  <c r="D19" i="1"/>
  <c r="E19" i="1"/>
  <c r="F19" i="1"/>
  <c r="G19" i="1"/>
  <c r="H19" i="1"/>
  <c r="B19" i="1"/>
  <c r="S49" i="1"/>
  <c r="S52" i="1" s="1"/>
  <c r="S17" i="1"/>
  <c r="S18" i="1" s="1"/>
  <c r="S19" i="1" s="1"/>
  <c r="F14" i="1"/>
  <c r="F22" i="1"/>
  <c r="F23" i="1"/>
  <c r="F24" i="1" s="1"/>
  <c r="F28" i="1"/>
  <c r="F30" i="1" s="1"/>
  <c r="E73" i="4" l="1"/>
  <c r="E64" i="4"/>
  <c r="G73" i="4"/>
  <c r="G64" i="4"/>
  <c r="G56" i="4"/>
  <c r="G54" i="4"/>
  <c r="P19" i="4"/>
  <c r="P21" i="4" s="1"/>
  <c r="D26" i="4" s="1"/>
  <c r="D36" i="4"/>
  <c r="O19" i="4"/>
  <c r="O21" i="4" s="1"/>
  <c r="C36" i="4"/>
  <c r="P51" i="4"/>
  <c r="P53" i="4" s="1"/>
  <c r="D50" i="4"/>
  <c r="D54" i="4" s="1"/>
  <c r="O51" i="4"/>
  <c r="O53" i="4" s="1"/>
  <c r="O55" i="4" s="1"/>
  <c r="C50" i="4"/>
  <c r="C54" i="4" s="1"/>
  <c r="N22" i="4"/>
  <c r="N23" i="4" s="1"/>
  <c r="B26" i="4"/>
  <c r="S19" i="4"/>
  <c r="S21" i="4" s="1"/>
  <c r="G26" i="4" s="1"/>
  <c r="G38" i="4"/>
  <c r="G39" i="4" s="1"/>
  <c r="G57" i="4"/>
  <c r="G58" i="4" s="1"/>
  <c r="S53" i="4"/>
  <c r="S55" i="4" s="1"/>
  <c r="R19" i="4"/>
  <c r="R21" i="4" s="1"/>
  <c r="F26" i="4" s="1"/>
  <c r="Q19" i="4"/>
  <c r="E38" i="4"/>
  <c r="E39" i="4" s="1"/>
  <c r="E41" i="4" s="1"/>
  <c r="R51" i="4"/>
  <c r="Q51" i="4"/>
  <c r="E57" i="4" s="1"/>
  <c r="E56" i="4"/>
  <c r="O56" i="4"/>
  <c r="B36" i="4"/>
  <c r="B38" i="4" s="1"/>
  <c r="B39" i="4" s="1"/>
  <c r="C38" i="4"/>
  <c r="C39" i="4" s="1"/>
  <c r="F38" i="4"/>
  <c r="F39" i="4" s="1"/>
  <c r="D30" i="4"/>
  <c r="D25" i="4"/>
  <c r="D38" i="4"/>
  <c r="D39" i="4" s="1"/>
  <c r="C25" i="4"/>
  <c r="D73" i="4"/>
  <c r="D32" i="4"/>
  <c r="D33" i="4" s="1"/>
  <c r="C31" i="4"/>
  <c r="F31" i="4"/>
  <c r="S20" i="1"/>
  <c r="N50" i="4"/>
  <c r="B50" i="4" s="1"/>
  <c r="B54" i="4" s="1"/>
  <c r="S21" i="1"/>
  <c r="F26" i="1" s="1"/>
  <c r="F36" i="1"/>
  <c r="F31" i="1"/>
  <c r="F32" i="1" s="1"/>
  <c r="F33" i="1" s="1"/>
  <c r="S50" i="1"/>
  <c r="S22" i="1"/>
  <c r="S23" i="1" s="1"/>
  <c r="F25" i="1"/>
  <c r="C14" i="1"/>
  <c r="D14" i="1"/>
  <c r="E14" i="1"/>
  <c r="G14" i="1"/>
  <c r="H14" i="1"/>
  <c r="B14" i="1"/>
  <c r="P49" i="1"/>
  <c r="P52" i="1" s="1"/>
  <c r="Q49" i="1"/>
  <c r="Q52" i="1" s="1"/>
  <c r="R49" i="1"/>
  <c r="R52" i="1" s="1"/>
  <c r="T49" i="1"/>
  <c r="T52" i="1" s="1"/>
  <c r="U49" i="1"/>
  <c r="U52" i="1" s="1"/>
  <c r="O52" i="1"/>
  <c r="E23" i="1"/>
  <c r="D23" i="1"/>
  <c r="C29" i="1"/>
  <c r="B29" i="1"/>
  <c r="C28" i="1"/>
  <c r="D28" i="1"/>
  <c r="E28" i="1"/>
  <c r="E31" i="1" s="1"/>
  <c r="E32" i="1" s="1"/>
  <c r="E33" i="1" s="1"/>
  <c r="G28" i="1"/>
  <c r="G31" i="1" s="1"/>
  <c r="G32" i="1" s="1"/>
  <c r="G33" i="1" s="1"/>
  <c r="H28" i="1"/>
  <c r="H31" i="1" s="1"/>
  <c r="H32" i="1" s="1"/>
  <c r="H33" i="1" s="1"/>
  <c r="B28" i="1"/>
  <c r="B31" i="1" s="1"/>
  <c r="B32" i="1" s="1"/>
  <c r="B33" i="1" s="1"/>
  <c r="C30" i="1"/>
  <c r="D30" i="1"/>
  <c r="E30" i="1"/>
  <c r="P17" i="1"/>
  <c r="P20" i="1" s="1"/>
  <c r="Q17" i="1"/>
  <c r="Q20" i="1" s="1"/>
  <c r="R17" i="1"/>
  <c r="R20" i="1" s="1"/>
  <c r="T17" i="1"/>
  <c r="T20" i="1" s="1"/>
  <c r="U17" i="1"/>
  <c r="U20" i="1" s="1"/>
  <c r="O17" i="1"/>
  <c r="O20" i="1" s="1"/>
  <c r="E22" i="1"/>
  <c r="E24" i="1" s="1"/>
  <c r="E25" i="1" s="1"/>
  <c r="D22" i="1"/>
  <c r="F41" i="4" l="1"/>
  <c r="D41" i="4"/>
  <c r="C41" i="4"/>
  <c r="R22" i="4"/>
  <c r="R23" i="4" s="1"/>
  <c r="P22" i="4"/>
  <c r="P23" i="4" s="1"/>
  <c r="E44" i="4"/>
  <c r="G41" i="4"/>
  <c r="G42" i="4" s="1"/>
  <c r="D57" i="4"/>
  <c r="P55" i="4"/>
  <c r="P56" i="4" s="1"/>
  <c r="D71" i="4"/>
  <c r="D72" i="4" s="1"/>
  <c r="O22" i="4"/>
  <c r="O23" i="4" s="1"/>
  <c r="C26" i="4"/>
  <c r="G71" i="4"/>
  <c r="G72" i="4" s="1"/>
  <c r="G76" i="4" s="1"/>
  <c r="G44" i="4"/>
  <c r="S56" i="4"/>
  <c r="S22" i="4"/>
  <c r="S23" i="4" s="1"/>
  <c r="G45" i="4" s="1"/>
  <c r="G43" i="4" s="1"/>
  <c r="E42" i="4"/>
  <c r="Q21" i="4"/>
  <c r="E26" i="4" s="1"/>
  <c r="F42" i="4"/>
  <c r="F44" i="4"/>
  <c r="R53" i="4"/>
  <c r="Q53" i="4"/>
  <c r="E58" i="4"/>
  <c r="B41" i="4"/>
  <c r="B42" i="4" s="1"/>
  <c r="C44" i="4"/>
  <c r="D42" i="4"/>
  <c r="F56" i="4"/>
  <c r="F62" i="4"/>
  <c r="F63" i="4" s="1"/>
  <c r="F32" i="4"/>
  <c r="F33" i="4" s="1"/>
  <c r="C56" i="4"/>
  <c r="B44" i="4"/>
  <c r="C62" i="4"/>
  <c r="C63" i="4" s="1"/>
  <c r="C64" i="4" s="1"/>
  <c r="C32" i="4"/>
  <c r="C33" i="4" s="1"/>
  <c r="N51" i="4"/>
  <c r="B56" i="4"/>
  <c r="D56" i="4"/>
  <c r="B32" i="4"/>
  <c r="B33" i="4" s="1"/>
  <c r="D44" i="4"/>
  <c r="S51" i="1"/>
  <c r="F50" i="1"/>
  <c r="D24" i="1"/>
  <c r="D25" i="1" s="1"/>
  <c r="F61" i="1"/>
  <c r="F62" i="1" s="1"/>
  <c r="U50" i="1"/>
  <c r="R50" i="1"/>
  <c r="P50" i="1"/>
  <c r="O50" i="1"/>
  <c r="T50" i="1"/>
  <c r="Q50" i="1"/>
  <c r="B61" i="1"/>
  <c r="B62" i="1" s="1"/>
  <c r="G61" i="1"/>
  <c r="G62" i="1" s="1"/>
  <c r="H61" i="1"/>
  <c r="H62" i="1" s="1"/>
  <c r="E61" i="1"/>
  <c r="E62" i="1" s="1"/>
  <c r="C31" i="1"/>
  <c r="C61" i="1" s="1"/>
  <c r="C62" i="1" s="1"/>
  <c r="D31" i="1"/>
  <c r="D61" i="1" s="1"/>
  <c r="D62" i="1" s="1"/>
  <c r="P18" i="1"/>
  <c r="R18" i="1"/>
  <c r="U18" i="1"/>
  <c r="O18" i="1"/>
  <c r="Q18" i="1"/>
  <c r="T18" i="1"/>
  <c r="F38" i="1" s="1"/>
  <c r="F39" i="1" s="1"/>
  <c r="O10" i="1"/>
  <c r="C22" i="1"/>
  <c r="C24" i="1" s="1"/>
  <c r="C25" i="1" s="1"/>
  <c r="F73" i="4" l="1"/>
  <c r="F64" i="4"/>
  <c r="C65" i="4"/>
  <c r="C66" i="4" s="1"/>
  <c r="C67" i="4" s="1"/>
  <c r="C76" i="4" s="1"/>
  <c r="F45" i="4"/>
  <c r="F43" i="4" s="1"/>
  <c r="D76" i="4"/>
  <c r="F57" i="4"/>
  <c r="F71" i="4" s="1"/>
  <c r="R55" i="4"/>
  <c r="R56" i="4" s="1"/>
  <c r="Q22" i="4"/>
  <c r="Q23" i="4" s="1"/>
  <c r="E45" i="4" s="1"/>
  <c r="E43" i="4" s="1"/>
  <c r="E71" i="4"/>
  <c r="E72" i="4" s="1"/>
  <c r="E76" i="4" s="1"/>
  <c r="Q55" i="4"/>
  <c r="Q56" i="4" s="1"/>
  <c r="B67" i="4"/>
  <c r="B76" i="4" s="1"/>
  <c r="C42" i="4"/>
  <c r="D58" i="4"/>
  <c r="B57" i="4"/>
  <c r="B58" i="4" s="1"/>
  <c r="N53" i="4"/>
  <c r="C57" i="4"/>
  <c r="C58" i="4" s="1"/>
  <c r="C45" i="4"/>
  <c r="C43" i="4" s="1"/>
  <c r="B45" i="4"/>
  <c r="B43" i="4" s="1"/>
  <c r="F71" i="1"/>
  <c r="F54" i="1"/>
  <c r="F55" i="1" s="1"/>
  <c r="S53" i="1"/>
  <c r="F56" i="1"/>
  <c r="F41" i="1"/>
  <c r="F44" i="1"/>
  <c r="F45" i="1" s="1"/>
  <c r="E71" i="1"/>
  <c r="C71" i="1"/>
  <c r="H71" i="1"/>
  <c r="D32" i="1"/>
  <c r="D33" i="1" s="1"/>
  <c r="C32" i="1"/>
  <c r="C33" i="1" s="1"/>
  <c r="O51" i="1"/>
  <c r="B50" i="1"/>
  <c r="B54" i="1" s="1"/>
  <c r="B55" i="1" s="1"/>
  <c r="B63" i="1" s="1"/>
  <c r="B64" i="1" s="1"/>
  <c r="B65" i="1" s="1"/>
  <c r="Q51" i="1"/>
  <c r="D50" i="1"/>
  <c r="D54" i="1" s="1"/>
  <c r="D55" i="1" s="1"/>
  <c r="D63" i="1" s="1"/>
  <c r="D64" i="1" s="1"/>
  <c r="D65" i="1" s="1"/>
  <c r="U51" i="1"/>
  <c r="H50" i="1"/>
  <c r="H54" i="1" s="1"/>
  <c r="H55" i="1" s="1"/>
  <c r="P51" i="1"/>
  <c r="C50" i="1"/>
  <c r="C54" i="1" s="1"/>
  <c r="C55" i="1" s="1"/>
  <c r="R51" i="1"/>
  <c r="E50" i="1"/>
  <c r="E54" i="1" s="1"/>
  <c r="E55" i="1" s="1"/>
  <c r="T51" i="1"/>
  <c r="G50" i="1"/>
  <c r="G54" i="1" s="1"/>
  <c r="G55" i="1" s="1"/>
  <c r="G63" i="1" s="1"/>
  <c r="G64" i="1" s="1"/>
  <c r="G65" i="1" s="1"/>
  <c r="Q19" i="1"/>
  <c r="D36" i="1"/>
  <c r="D38" i="1" s="1"/>
  <c r="D39" i="1" s="1"/>
  <c r="U19" i="1"/>
  <c r="P19" i="1"/>
  <c r="C36" i="1"/>
  <c r="C38" i="1" s="1"/>
  <c r="C39" i="1" s="1"/>
  <c r="T19" i="1"/>
  <c r="G36" i="1"/>
  <c r="O19" i="1"/>
  <c r="B36" i="1"/>
  <c r="R19" i="1"/>
  <c r="E36" i="1"/>
  <c r="E38" i="1" s="1"/>
  <c r="E39" i="1" s="1"/>
  <c r="H30" i="1"/>
  <c r="B30" i="1"/>
  <c r="G22" i="1"/>
  <c r="H22" i="1"/>
  <c r="G30" i="1"/>
  <c r="B22" i="1"/>
  <c r="D45" i="4" l="1"/>
  <c r="D43" i="4" s="1"/>
  <c r="F58" i="4"/>
  <c r="F72" i="4"/>
  <c r="F76" i="4" s="1"/>
  <c r="N55" i="4"/>
  <c r="N56" i="4" s="1"/>
  <c r="F69" i="1"/>
  <c r="F70" i="1" s="1"/>
  <c r="S54" i="1"/>
  <c r="S55" i="1" s="1"/>
  <c r="F57" i="1"/>
  <c r="F42" i="1"/>
  <c r="E41" i="1"/>
  <c r="E42" i="1" s="1"/>
  <c r="T53" i="1"/>
  <c r="G56" i="1"/>
  <c r="G57" i="1" s="1"/>
  <c r="R53" i="1"/>
  <c r="E56" i="1"/>
  <c r="E57" i="1" s="1"/>
  <c r="P53" i="1"/>
  <c r="C56" i="1"/>
  <c r="C57" i="1" s="1"/>
  <c r="U53" i="1"/>
  <c r="H56" i="1"/>
  <c r="H57" i="1" s="1"/>
  <c r="Q53" i="1"/>
  <c r="Q54" i="1" s="1"/>
  <c r="Q55" i="1" s="1"/>
  <c r="D56" i="1"/>
  <c r="D57" i="1" s="1"/>
  <c r="O53" i="1"/>
  <c r="O54" i="1" s="1"/>
  <c r="O55" i="1" s="1"/>
  <c r="B56" i="1"/>
  <c r="B57" i="1" s="1"/>
  <c r="C41" i="1"/>
  <c r="C42" i="1" s="1"/>
  <c r="D41" i="1"/>
  <c r="D42" i="1" s="1"/>
  <c r="U21" i="1"/>
  <c r="U22" i="1" s="1"/>
  <c r="U23" i="1" s="1"/>
  <c r="Q21" i="1"/>
  <c r="D44" i="1"/>
  <c r="R21" i="1"/>
  <c r="E44" i="1"/>
  <c r="O21" i="1"/>
  <c r="O22" i="1" s="1"/>
  <c r="O23" i="1" s="1"/>
  <c r="T21" i="1"/>
  <c r="P21" i="1"/>
  <c r="P22" i="1" s="1"/>
  <c r="P23" i="1" s="1"/>
  <c r="C44" i="1"/>
  <c r="H24" i="1"/>
  <c r="B24" i="1"/>
  <c r="T22" i="1" l="1"/>
  <c r="T23" i="1" s="1"/>
  <c r="F43" i="1" s="1"/>
  <c r="T54" i="1"/>
  <c r="T55" i="1" s="1"/>
  <c r="U54" i="1"/>
  <c r="U55" i="1" s="1"/>
  <c r="H69" i="1"/>
  <c r="H70" i="1" s="1"/>
  <c r="P54" i="1"/>
  <c r="P55" i="1" s="1"/>
  <c r="C69" i="1"/>
  <c r="C70" i="1" s="1"/>
  <c r="E69" i="1"/>
  <c r="E70" i="1" s="1"/>
  <c r="R54" i="1"/>
  <c r="R55" i="1" s="1"/>
  <c r="H26" i="1"/>
  <c r="C45" i="1"/>
  <c r="C43" i="1" s="1"/>
  <c r="E26" i="1"/>
  <c r="R22" i="1"/>
  <c r="R23" i="1" s="1"/>
  <c r="E45" i="1" s="1"/>
  <c r="E43" i="1" s="1"/>
  <c r="Q22" i="1"/>
  <c r="Q23" i="1" s="1"/>
  <c r="D45" i="1" s="1"/>
  <c r="D43" i="1" s="1"/>
  <c r="D26" i="1"/>
  <c r="C26" i="1"/>
  <c r="B26" i="1"/>
  <c r="H25" i="1"/>
  <c r="G24" i="1"/>
  <c r="G26" i="1" s="1"/>
  <c r="H36" i="1"/>
  <c r="B25" i="1"/>
  <c r="G25" i="1" l="1"/>
  <c r="B38" i="1"/>
  <c r="H38" i="1" l="1"/>
  <c r="B39" i="1"/>
  <c r="G38" i="1"/>
  <c r="B44" i="1" l="1"/>
  <c r="B45" i="1" s="1"/>
  <c r="B43" i="1" s="1"/>
  <c r="B41" i="1"/>
  <c r="B42" i="1" s="1"/>
  <c r="G39" i="1"/>
  <c r="H39" i="1"/>
  <c r="G44" i="1" l="1"/>
  <c r="G45" i="1" s="1"/>
  <c r="G43" i="1" s="1"/>
  <c r="G41" i="1"/>
  <c r="G42" i="1" s="1"/>
  <c r="H44" i="1"/>
  <c r="H45" i="1" s="1"/>
  <c r="H43" i="1" s="1"/>
  <c r="H41" i="1"/>
  <c r="H42" i="1" s="1"/>
</calcChain>
</file>

<file path=xl/sharedStrings.xml><?xml version="1.0" encoding="utf-8"?>
<sst xmlns="http://schemas.openxmlformats.org/spreadsheetml/2006/main" count="454" uniqueCount="199">
  <si>
    <t>CMA</t>
  </si>
  <si>
    <t>Generally Useful Constants</t>
  </si>
  <si>
    <t>e</t>
  </si>
  <si>
    <t>c</t>
  </si>
  <si>
    <t>mp</t>
  </si>
  <si>
    <t>mpi</t>
  </si>
  <si>
    <t>mmu</t>
  </si>
  <si>
    <t>m/sec</t>
  </si>
  <si>
    <t>me</t>
  </si>
  <si>
    <t>pi</t>
  </si>
  <si>
    <t>C</t>
  </si>
  <si>
    <t>sigmat</t>
  </si>
  <si>
    <t>mm</t>
  </si>
  <si>
    <t>sigmax</t>
  </si>
  <si>
    <t>sec</t>
  </si>
  <si>
    <t>frep</t>
  </si>
  <si>
    <t>rms bunch length</t>
  </si>
  <si>
    <t>Hz</t>
  </si>
  <si>
    <t>dtrgt</t>
  </si>
  <si>
    <t>diameter of mercury jet</t>
  </si>
  <si>
    <t>thbmt</t>
  </si>
  <si>
    <t>mr</t>
  </si>
  <si>
    <t>angle of beam on target</t>
  </si>
  <si>
    <t>Leff</t>
  </si>
  <si>
    <t>effective length of target</t>
  </si>
  <si>
    <t>beta</t>
  </si>
  <si>
    <t>beta fcn at target center</t>
  </si>
  <si>
    <t>epsrg</t>
  </si>
  <si>
    <t>pi mm-mr</t>
  </si>
  <si>
    <t>rms geometrical emittance</t>
  </si>
  <si>
    <t>Parameters at Production Target</t>
  </si>
  <si>
    <t>m</t>
  </si>
  <si>
    <t>sigthta</t>
  </si>
  <si>
    <t>mrad</t>
  </si>
  <si>
    <t>Proton Beam Kinematics</t>
  </si>
  <si>
    <t>rp</t>
  </si>
  <si>
    <t>Ek</t>
  </si>
  <si>
    <t>Et</t>
  </si>
  <si>
    <t>mom</t>
  </si>
  <si>
    <t>gamma</t>
  </si>
  <si>
    <t>bg</t>
  </si>
  <si>
    <t>bgg</t>
  </si>
  <si>
    <t>bbggg</t>
  </si>
  <si>
    <t>Beam Intensity</t>
  </si>
  <si>
    <t>Iav</t>
  </si>
  <si>
    <t>average current</t>
  </si>
  <si>
    <t>fduty</t>
  </si>
  <si>
    <t>Ipk</t>
  </si>
  <si>
    <t>Npdot</t>
  </si>
  <si>
    <t>/sec</t>
  </si>
  <si>
    <t>protons/sec</t>
  </si>
  <si>
    <t>Npcyc</t>
  </si>
  <si>
    <t>protons/cycle</t>
  </si>
  <si>
    <t>Np</t>
  </si>
  <si>
    <t>protons/bunch</t>
  </si>
  <si>
    <t>B</t>
  </si>
  <si>
    <t>rho</t>
  </si>
  <si>
    <t>Bending radius</t>
  </si>
  <si>
    <t>fp</t>
  </si>
  <si>
    <t>Dipole packing factor</t>
  </si>
  <si>
    <t>R</t>
  </si>
  <si>
    <t>Average radius</t>
  </si>
  <si>
    <t>Circumference</t>
  </si>
  <si>
    <t>GeV</t>
  </si>
  <si>
    <t>T</t>
  </si>
  <si>
    <t>epsn95</t>
  </si>
  <si>
    <t>kinetic energy</t>
  </si>
  <si>
    <t>proton mass</t>
  </si>
  <si>
    <t>total energy</t>
  </si>
  <si>
    <t>momentum</t>
  </si>
  <si>
    <t>GeV/c</t>
  </si>
  <si>
    <t>taumu</t>
  </si>
  <si>
    <t>muon proper lifetime</t>
  </si>
  <si>
    <t>rms H and V beam size</t>
  </si>
  <si>
    <t>rms proj angular spread at target</t>
  </si>
  <si>
    <t>dipole field</t>
  </si>
  <si>
    <t>proton "radius"</t>
  </si>
  <si>
    <t>macro duty factor</t>
  </si>
  <si>
    <t>avg current during pulse</t>
  </si>
  <si>
    <t>Purpose</t>
  </si>
  <si>
    <t>NF</t>
  </si>
  <si>
    <t>MC</t>
  </si>
  <si>
    <t>Bunches/sec delivered to target</t>
  </si>
  <si>
    <t>rmu</t>
  </si>
  <si>
    <t>muon "radius"</t>
  </si>
  <si>
    <t>Scenario</t>
  </si>
  <si>
    <t>A</t>
  </si>
  <si>
    <t>proton charge</t>
  </si>
  <si>
    <t>speed of light</t>
  </si>
  <si>
    <t>pion mass</t>
  </si>
  <si>
    <t>muon mass</t>
  </si>
  <si>
    <t>electron mass</t>
  </si>
  <si>
    <t>p</t>
  </si>
  <si>
    <t>Pb</t>
  </si>
  <si>
    <t>Proton beam power</t>
  </si>
  <si>
    <t>MW</t>
  </si>
  <si>
    <t>parr</t>
  </si>
  <si>
    <t>Proton accelerator rep rate</t>
  </si>
  <si>
    <t>npbpc</t>
  </si>
  <si>
    <t>no. of accumulator rings</t>
  </si>
  <si>
    <t>ncp</t>
  </si>
  <si>
    <t>no. of buncher rings</t>
  </si>
  <si>
    <t>no. of combiner paths</t>
  </si>
  <si>
    <t>nar</t>
  </si>
  <si>
    <t>Scenario A = Entry-level 3-GeV system</t>
  </si>
  <si>
    <t>Scenario C = Baseline 8-GeV 4 MW system</t>
  </si>
  <si>
    <t>norm. emit. with 95% of beam</t>
  </si>
  <si>
    <t>mA</t>
  </si>
  <si>
    <t>Bunching factor in Buncher</t>
  </si>
  <si>
    <t>Laslett tune shift in Buncher</t>
  </si>
  <si>
    <t>DNuBun</t>
  </si>
  <si>
    <t>BunBun</t>
  </si>
  <si>
    <t>BunAcc</t>
  </si>
  <si>
    <t>DNuAcc</t>
  </si>
  <si>
    <t>Bunching factor in Accumulator</t>
  </si>
  <si>
    <t>Laslett tune shift in Accumulator</t>
  </si>
  <si>
    <t>nbr*</t>
  </si>
  <si>
    <t>Accumulator Ring Parameters</t>
  </si>
  <si>
    <t>Units</t>
  </si>
  <si>
    <t>no. p bunches formed per accel. cycle</t>
  </si>
  <si>
    <t>sigtAcc</t>
  </si>
  <si>
    <t>rms bun len in Accumulator</t>
  </si>
  <si>
    <t>bun len red factor in Buncher</t>
  </si>
  <si>
    <t>sigtratio</t>
  </si>
  <si>
    <t>Scenario B= High-Performance 3-GeV system</t>
  </si>
  <si>
    <t>DRAFT</t>
  </si>
  <si>
    <t>beta_tgt</t>
  </si>
  <si>
    <t>*If nbr=0, then bunch shortening occurs in the accumulator ring(s)</t>
  </si>
  <si>
    <t>Muon Facilities</t>
  </si>
  <si>
    <t>Muon Beam Kinematics</t>
  </si>
  <si>
    <t>Kin. Energy of muon storage ring</t>
  </si>
  <si>
    <t>K</t>
  </si>
  <si>
    <t>Avg Dipole field in the arcs</t>
  </si>
  <si>
    <t>Tesla</t>
  </si>
  <si>
    <t>Avg. radius of each arc</t>
  </si>
  <si>
    <t>Narcs</t>
  </si>
  <si>
    <t>meters</t>
  </si>
  <si>
    <t>Lstr</t>
  </si>
  <si>
    <t>Length of each "physics" straight</t>
  </si>
  <si>
    <t>Nstrs</t>
  </si>
  <si>
    <t>Rarc</t>
  </si>
  <si>
    <t>No. of arcs</t>
  </si>
  <si>
    <t>No of physics straights</t>
  </si>
  <si>
    <t>Fdecay</t>
  </si>
  <si>
    <t>Fraction decaying in one straight</t>
  </si>
  <si>
    <t>Muon Ring Geometry</t>
  </si>
  <si>
    <t>Intensity and Luminosity</t>
  </si>
  <si>
    <t>Frev</t>
  </si>
  <si>
    <t>1/sec</t>
  </si>
  <si>
    <t>Revolution frequency</t>
  </si>
  <si>
    <t>Trev</t>
  </si>
  <si>
    <t>Revolution time</t>
  </si>
  <si>
    <t>Nmu</t>
  </si>
  <si>
    <t>Mu/p</t>
  </si>
  <si>
    <t>Fsurvive</t>
  </si>
  <si>
    <t>ratio of useful Nmu to Np</t>
  </si>
  <si>
    <t>Fraction surviving cool + accel</t>
  </si>
  <si>
    <t>npbc</t>
  </si>
  <si>
    <t>no. of p bunches combined per mu cycle</t>
  </si>
  <si>
    <t>nmcppc</t>
  </si>
  <si>
    <t>no. of mu cycles per proton acc. cycle</t>
  </si>
  <si>
    <t>marr</t>
  </si>
  <si>
    <t>muon accelerators rep rate</t>
  </si>
  <si>
    <t>Nmu*Fsur</t>
  </si>
  <si>
    <t>No. muons/cycle surviving cool + accel</t>
  </si>
  <si>
    <t>No. useful decays/cycle</t>
  </si>
  <si>
    <t>No. useful decays/sec</t>
  </si>
  <si>
    <t>No. useful decays/yr</t>
  </si>
  <si>
    <t>Nudpc</t>
  </si>
  <si>
    <t>Nudps</t>
  </si>
  <si>
    <t>Nudpy</t>
  </si>
  <si>
    <t>beta star</t>
  </si>
  <si>
    <t>hrgl factor</t>
  </si>
  <si>
    <t>cm</t>
  </si>
  <si>
    <t>envelope fcn at IR</t>
  </si>
  <si>
    <t>hourglass factor</t>
  </si>
  <si>
    <t>Norm. rms emittance</t>
  </si>
  <si>
    <t>epsnr</t>
  </si>
  <si>
    <t>Linit</t>
  </si>
  <si>
    <t>Initial luminosity</t>
  </si>
  <si>
    <t>1/cm2sec</t>
  </si>
  <si>
    <t>Lavg</t>
  </si>
  <si>
    <t>Average Luminosity</t>
  </si>
  <si>
    <t>(Higgs factories would benefit greatly from plasma lenses at the IRs)</t>
  </si>
  <si>
    <t>DnuBB</t>
  </si>
  <si>
    <t>Beam-beam tune shift</t>
  </si>
  <si>
    <t>Muons/cycle after front end</t>
  </si>
  <si>
    <t>Parameters for NF and MC with Proton Driver at 3 and 8 GeV</t>
  </si>
  <si>
    <t>L3NF</t>
  </si>
  <si>
    <t>L2HF</t>
  </si>
  <si>
    <t>HF</t>
  </si>
  <si>
    <t>MC3TeV</t>
  </si>
  <si>
    <t>MC1.5TeV</t>
  </si>
  <si>
    <t>Official lum</t>
  </si>
  <si>
    <t>Ratio Est/off</t>
  </si>
  <si>
    <t>Ccalc</t>
  </si>
  <si>
    <t>Cofficial</t>
  </si>
  <si>
    <t>Nmust/y</t>
  </si>
  <si>
    <t>No. stored muons/year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</si>
</sst>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11" fontId="0" fillId="0" borderId="0" xfId="0" applyNumberFormat="1"/>
    <xf numFmtId="0" fontId="0" fillId="0" borderId="0" xfId="0" applyNumberFormat="1" applyFont="1" applyAlignment="1">
      <alignment vertical="top"/>
    </xf>
    <xf numFmtId="11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1" fontId="0" fillId="0" borderId="0" xfId="0" applyNumberFormat="1" applyAlignment="1">
      <alignment vertical="top"/>
    </xf>
    <xf numFmtId="0" fontId="1" fillId="0" borderId="0" xfId="0" applyFont="1"/>
    <xf numFmtId="2" fontId="0" fillId="0" borderId="0" xfId="0" applyNumberFormat="1" applyFont="1" applyAlignment="1">
      <alignment vertical="top"/>
    </xf>
    <xf numFmtId="2" fontId="0" fillId="0" borderId="0" xfId="0" applyNumberFormat="1"/>
    <xf numFmtId="2" fontId="0" fillId="0" borderId="0" xfId="0" applyNumberFormat="1" applyAlignment="1">
      <alignment vertical="top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3" fillId="0" borderId="0" xfId="0" applyFont="1" applyAlignment="1">
      <alignment vertical="center"/>
    </xf>
    <xf numFmtId="11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horizontal="left" vertical="center"/>
    </xf>
    <xf numFmtId="14" fontId="4" fillId="2" borderId="0" xfId="0" applyNumberFormat="1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>
      <alignment vertical="top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1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1" fontId="6" fillId="0" borderId="0" xfId="0" applyNumberFormat="1" applyFont="1"/>
    <xf numFmtId="0" fontId="6" fillId="0" borderId="0" xfId="0" applyFont="1" applyAlignment="1">
      <alignment vertical="center"/>
    </xf>
    <xf numFmtId="2" fontId="6" fillId="0" borderId="0" xfId="0" applyNumberFormat="1" applyFont="1"/>
    <xf numFmtId="2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1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center" vertical="top"/>
    </xf>
    <xf numFmtId="0" fontId="0" fillId="0" borderId="0" xfId="0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7" fillId="0" borderId="0" xfId="0" applyNumberFormat="1" applyFont="1" applyAlignment="1">
      <alignment vertical="top"/>
    </xf>
    <xf numFmtId="11" fontId="7" fillId="0" borderId="0" xfId="0" applyNumberFormat="1" applyFont="1"/>
    <xf numFmtId="0" fontId="1" fillId="0" borderId="0" xfId="0" applyFont="1" applyAlignment="1">
      <alignment horizontal="center" vertical="center"/>
    </xf>
    <xf numFmtId="0" fontId="8" fillId="0" borderId="0" xfId="0" applyNumberFormat="1" applyFont="1" applyAlignment="1">
      <alignment vertical="top"/>
    </xf>
    <xf numFmtId="11" fontId="8" fillId="0" borderId="0" xfId="0" applyNumberFormat="1" applyFont="1"/>
    <xf numFmtId="0" fontId="8" fillId="0" borderId="0" xfId="0" applyFont="1"/>
    <xf numFmtId="0" fontId="9" fillId="0" borderId="0" xfId="0" applyNumberFormat="1" applyFont="1" applyAlignment="1">
      <alignment vertical="top"/>
    </xf>
    <xf numFmtId="11" fontId="10" fillId="0" borderId="0" xfId="0" applyNumberFormat="1" applyFont="1"/>
    <xf numFmtId="0" fontId="10" fillId="0" borderId="0" xfId="0" applyFont="1"/>
    <xf numFmtId="0" fontId="9" fillId="0" borderId="0" xfId="0" applyFont="1"/>
    <xf numFmtId="1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tabSelected="1" topLeftCell="A53" workbookViewId="0">
      <selection activeCell="M72" sqref="M72"/>
    </sheetView>
  </sheetViews>
  <sheetFormatPr defaultRowHeight="15" x14ac:dyDescent="0.25"/>
  <cols>
    <col min="1" max="1" width="12.5703125" customWidth="1"/>
    <col min="2" max="2" width="13.140625" customWidth="1"/>
    <col min="3" max="5" width="12" customWidth="1"/>
    <col min="6" max="6" width="9.28515625" bestFit="1" customWidth="1"/>
    <col min="7" max="7" width="9.28515625" customWidth="1"/>
    <col min="15" max="15" width="10" customWidth="1"/>
    <col min="16" max="16" width="10.140625" customWidth="1"/>
    <col min="17" max="17" width="9.7109375" customWidth="1"/>
    <col min="19" max="19" width="10.42578125" customWidth="1"/>
  </cols>
  <sheetData>
    <row r="1" spans="1:17" ht="18.75" x14ac:dyDescent="0.3">
      <c r="A1" s="36" t="s">
        <v>187</v>
      </c>
      <c r="H1" s="55"/>
      <c r="I1" s="55"/>
      <c r="J1" s="55"/>
      <c r="K1" s="55"/>
      <c r="L1" s="56"/>
      <c r="M1" s="17" t="s">
        <v>1</v>
      </c>
    </row>
    <row r="2" spans="1:17" ht="15" customHeight="1" x14ac:dyDescent="0.25">
      <c r="A2" s="18" t="s">
        <v>0</v>
      </c>
      <c r="B2" s="19">
        <v>41389</v>
      </c>
      <c r="C2" s="35" t="s">
        <v>125</v>
      </c>
      <c r="D2" s="19"/>
      <c r="E2" s="19"/>
      <c r="F2" s="18"/>
      <c r="G2" s="18"/>
      <c r="H2" s="55"/>
      <c r="I2" s="55"/>
      <c r="J2" s="55"/>
      <c r="K2" s="55"/>
      <c r="L2" s="57"/>
      <c r="M2" s="18" t="s">
        <v>9</v>
      </c>
      <c r="N2" s="18">
        <v>3.1415926535900001</v>
      </c>
      <c r="O2" s="18"/>
      <c r="P2" s="27" t="s">
        <v>92</v>
      </c>
      <c r="Q2" s="60"/>
    </row>
    <row r="3" spans="1:17" ht="15" customHeight="1" x14ac:dyDescent="0.7">
      <c r="A3" s="17"/>
      <c r="B3" s="41"/>
      <c r="C3" s="71"/>
      <c r="D3" s="71"/>
      <c r="E3" s="71"/>
      <c r="F3" s="42"/>
      <c r="G3" s="43"/>
      <c r="H3" s="58"/>
      <c r="I3" s="55"/>
      <c r="J3" s="55"/>
      <c r="K3" s="55"/>
      <c r="L3" s="59"/>
      <c r="M3" s="18" t="s">
        <v>2</v>
      </c>
      <c r="N3" s="28">
        <v>1.6022000000000001E-19</v>
      </c>
      <c r="O3" s="23" t="s">
        <v>10</v>
      </c>
      <c r="P3" s="18" t="s">
        <v>87</v>
      </c>
    </row>
    <row r="4" spans="1:17" ht="15" customHeight="1" x14ac:dyDescent="0.7">
      <c r="A4" s="17" t="s">
        <v>79</v>
      </c>
      <c r="B4" s="63" t="s">
        <v>188</v>
      </c>
      <c r="C4" s="63" t="s">
        <v>80</v>
      </c>
      <c r="D4" s="63" t="s">
        <v>189</v>
      </c>
      <c r="E4" s="63" t="s">
        <v>190</v>
      </c>
      <c r="F4" s="63" t="s">
        <v>192</v>
      </c>
      <c r="G4" s="63" t="s">
        <v>191</v>
      </c>
      <c r="H4" s="63" t="s">
        <v>118</v>
      </c>
      <c r="I4" s="8"/>
      <c r="J4" s="8"/>
      <c r="L4" s="16"/>
      <c r="M4" s="18" t="s">
        <v>3</v>
      </c>
      <c r="N4" s="28">
        <v>299800000</v>
      </c>
      <c r="O4" s="23" t="s">
        <v>7</v>
      </c>
      <c r="P4" s="18" t="s">
        <v>88</v>
      </c>
    </row>
    <row r="5" spans="1:17" x14ac:dyDescent="0.25">
      <c r="A5" s="14" t="s">
        <v>36</v>
      </c>
      <c r="B5" s="25">
        <v>3</v>
      </c>
      <c r="C5" s="25">
        <v>3</v>
      </c>
      <c r="D5" s="25">
        <v>3</v>
      </c>
      <c r="E5" s="54">
        <v>8</v>
      </c>
      <c r="F5" s="25">
        <v>8</v>
      </c>
      <c r="G5" s="54">
        <v>8</v>
      </c>
      <c r="H5" s="22" t="s">
        <v>63</v>
      </c>
      <c r="I5" s="8" t="s">
        <v>66</v>
      </c>
      <c r="J5" s="8"/>
      <c r="L5" s="15"/>
      <c r="M5" t="s">
        <v>4</v>
      </c>
      <c r="N5">
        <v>0.93827199999999999</v>
      </c>
      <c r="O5" s="12" t="s">
        <v>63</v>
      </c>
      <c r="P5" t="s">
        <v>67</v>
      </c>
    </row>
    <row r="6" spans="1:17" x14ac:dyDescent="0.25">
      <c r="A6" s="8" t="s">
        <v>93</v>
      </c>
      <c r="B6" s="26">
        <v>1</v>
      </c>
      <c r="C6" s="26">
        <v>3</v>
      </c>
      <c r="D6" s="26">
        <v>3</v>
      </c>
      <c r="E6" s="54">
        <v>4</v>
      </c>
      <c r="F6" s="26">
        <v>4</v>
      </c>
      <c r="G6" s="54">
        <v>4</v>
      </c>
      <c r="H6" t="s">
        <v>95</v>
      </c>
      <c r="I6" s="8" t="s">
        <v>94</v>
      </c>
      <c r="J6" s="8"/>
      <c r="M6" t="s">
        <v>5</v>
      </c>
      <c r="N6">
        <v>0.13957</v>
      </c>
      <c r="O6" s="12" t="s">
        <v>63</v>
      </c>
      <c r="P6" s="60" t="s">
        <v>89</v>
      </c>
      <c r="Q6" s="60"/>
    </row>
    <row r="7" spans="1:17" x14ac:dyDescent="0.25">
      <c r="A7" s="8" t="s">
        <v>96</v>
      </c>
      <c r="B7" s="29">
        <v>70</v>
      </c>
      <c r="C7" s="29">
        <v>70</v>
      </c>
      <c r="D7" s="29">
        <v>30</v>
      </c>
      <c r="E7" s="45">
        <v>15</v>
      </c>
      <c r="F7" s="15">
        <v>15</v>
      </c>
      <c r="G7" s="45">
        <v>12</v>
      </c>
      <c r="H7" t="s">
        <v>17</v>
      </c>
      <c r="I7" s="8" t="s">
        <v>97</v>
      </c>
      <c r="J7" s="8"/>
      <c r="L7" s="10"/>
      <c r="M7" t="s">
        <v>6</v>
      </c>
      <c r="N7">
        <v>0.105658</v>
      </c>
      <c r="O7" s="12" t="s">
        <v>63</v>
      </c>
      <c r="P7" t="s">
        <v>90</v>
      </c>
    </row>
    <row r="8" spans="1:17" x14ac:dyDescent="0.25">
      <c r="A8" s="8" t="s">
        <v>98</v>
      </c>
      <c r="B8" s="15">
        <v>2</v>
      </c>
      <c r="C8" s="15">
        <v>4</v>
      </c>
      <c r="D8" s="15">
        <v>4</v>
      </c>
      <c r="E8" s="45">
        <v>4</v>
      </c>
      <c r="F8" s="15">
        <v>4</v>
      </c>
      <c r="G8" s="45">
        <v>4</v>
      </c>
      <c r="I8" s="8" t="s">
        <v>119</v>
      </c>
      <c r="J8" s="8"/>
      <c r="L8" s="10"/>
      <c r="M8" t="s">
        <v>8</v>
      </c>
      <c r="N8">
        <v>5.1099999999999995E-4</v>
      </c>
      <c r="O8" s="12" t="s">
        <v>63</v>
      </c>
      <c r="P8" t="s">
        <v>91</v>
      </c>
    </row>
    <row r="9" spans="1:17" x14ac:dyDescent="0.25">
      <c r="A9" s="8" t="s">
        <v>103</v>
      </c>
      <c r="B9" s="24">
        <v>2</v>
      </c>
      <c r="C9" s="24">
        <v>4</v>
      </c>
      <c r="D9" s="24">
        <v>4</v>
      </c>
      <c r="E9" s="46">
        <v>4</v>
      </c>
      <c r="F9" s="24">
        <v>1</v>
      </c>
      <c r="G9" s="46">
        <v>1</v>
      </c>
      <c r="I9" s="8" t="s">
        <v>99</v>
      </c>
      <c r="J9" s="8"/>
      <c r="M9" s="2" t="s">
        <v>35</v>
      </c>
      <c r="N9" s="3">
        <v>1.5349999999999999E-18</v>
      </c>
      <c r="O9" s="13" t="s">
        <v>31</v>
      </c>
      <c r="P9" s="5" t="s">
        <v>76</v>
      </c>
    </row>
    <row r="10" spans="1:17" x14ac:dyDescent="0.25">
      <c r="A10" s="8" t="s">
        <v>116</v>
      </c>
      <c r="B10" s="15">
        <v>0</v>
      </c>
      <c r="C10" s="15">
        <v>0</v>
      </c>
      <c r="D10" s="15">
        <v>0</v>
      </c>
      <c r="E10" s="45">
        <v>1</v>
      </c>
      <c r="F10" s="15">
        <v>1</v>
      </c>
      <c r="G10" s="45">
        <v>1</v>
      </c>
      <c r="I10" s="8" t="s">
        <v>101</v>
      </c>
      <c r="J10" s="8"/>
      <c r="M10" t="s">
        <v>83</v>
      </c>
      <c r="N10" s="1">
        <f>N9*N5/N7</f>
        <v>1.3631220731037877E-17</v>
      </c>
      <c r="P10" t="s">
        <v>84</v>
      </c>
    </row>
    <row r="11" spans="1:17" x14ac:dyDescent="0.25">
      <c r="A11" s="8" t="s">
        <v>100</v>
      </c>
      <c r="B11" s="15">
        <v>1</v>
      </c>
      <c r="C11" s="15">
        <v>1</v>
      </c>
      <c r="D11" s="15">
        <v>1</v>
      </c>
      <c r="E11" s="45">
        <v>1</v>
      </c>
      <c r="F11" s="15">
        <v>4</v>
      </c>
      <c r="G11" s="45">
        <v>4</v>
      </c>
      <c r="I11" s="8" t="s">
        <v>102</v>
      </c>
      <c r="J11" s="8"/>
      <c r="M11" t="s">
        <v>71</v>
      </c>
      <c r="N11" s="1">
        <v>2.2000000000000001E-6</v>
      </c>
      <c r="O11" s="12" t="s">
        <v>14</v>
      </c>
      <c r="P11" t="s">
        <v>72</v>
      </c>
    </row>
    <row r="12" spans="1:17" x14ac:dyDescent="0.25">
      <c r="A12" s="8" t="s">
        <v>159</v>
      </c>
      <c r="B12" s="15">
        <v>1</v>
      </c>
      <c r="C12" s="15">
        <v>1</v>
      </c>
      <c r="D12" s="15">
        <v>1</v>
      </c>
      <c r="E12" s="45">
        <v>1</v>
      </c>
      <c r="F12" s="15">
        <v>1</v>
      </c>
      <c r="G12" s="45">
        <v>1</v>
      </c>
      <c r="I12" s="8" t="s">
        <v>160</v>
      </c>
      <c r="J12" s="8"/>
      <c r="N12" s="1"/>
      <c r="O12" s="12"/>
    </row>
    <row r="13" spans="1:17" x14ac:dyDescent="0.25">
      <c r="A13" s="8" t="s">
        <v>157</v>
      </c>
      <c r="B13" s="15">
        <v>2</v>
      </c>
      <c r="C13" s="15">
        <v>4</v>
      </c>
      <c r="D13" s="15">
        <v>4</v>
      </c>
      <c r="E13" s="45">
        <v>4</v>
      </c>
      <c r="F13" s="15">
        <v>4</v>
      </c>
      <c r="G13" s="45">
        <v>4</v>
      </c>
      <c r="I13" s="8" t="s">
        <v>158</v>
      </c>
      <c r="J13" s="8"/>
      <c r="N13" s="1"/>
      <c r="O13" s="12"/>
    </row>
    <row r="14" spans="1:17" x14ac:dyDescent="0.25">
      <c r="A14" s="8" t="s">
        <v>161</v>
      </c>
      <c r="B14" s="15">
        <f>B7*B8/B13</f>
        <v>70</v>
      </c>
      <c r="C14" s="15">
        <f t="shared" ref="C14:F14" si="0">C7*C8/C13</f>
        <v>70</v>
      </c>
      <c r="D14" s="15">
        <f t="shared" si="0"/>
        <v>30</v>
      </c>
      <c r="E14" s="45">
        <f t="shared" ref="E14" si="1">E7*E8/E13</f>
        <v>15</v>
      </c>
      <c r="F14" s="15">
        <f t="shared" si="0"/>
        <v>15</v>
      </c>
      <c r="G14" s="45">
        <f t="shared" ref="G14" si="2">G7*G8/G13</f>
        <v>12</v>
      </c>
      <c r="I14" s="8" t="s">
        <v>162</v>
      </c>
      <c r="J14" s="8"/>
      <c r="N14" s="1"/>
      <c r="O14" s="12"/>
    </row>
    <row r="15" spans="1:17" x14ac:dyDescent="0.25">
      <c r="A15" s="14" t="s">
        <v>127</v>
      </c>
      <c r="B15" s="3"/>
      <c r="C15" s="13"/>
      <c r="D15" s="13"/>
      <c r="E15" s="44"/>
      <c r="G15" s="44"/>
      <c r="H15" s="2"/>
      <c r="I15" s="14"/>
      <c r="J15" s="8"/>
    </row>
    <row r="16" spans="1:17" x14ac:dyDescent="0.25">
      <c r="A16" s="8" t="s">
        <v>30</v>
      </c>
      <c r="E16" s="44"/>
      <c r="G16" s="44"/>
      <c r="I16" s="8"/>
      <c r="J16" s="8"/>
      <c r="L16" s="10"/>
      <c r="M16" s="8" t="s">
        <v>34</v>
      </c>
    </row>
    <row r="17" spans="1:21" x14ac:dyDescent="0.25">
      <c r="A17" s="8" t="s">
        <v>13</v>
      </c>
      <c r="B17">
        <v>2.5</v>
      </c>
      <c r="C17">
        <v>2</v>
      </c>
      <c r="D17">
        <v>2</v>
      </c>
      <c r="E17" s="44">
        <v>2</v>
      </c>
      <c r="F17">
        <v>2</v>
      </c>
      <c r="G17" s="44">
        <v>2</v>
      </c>
      <c r="H17" t="s">
        <v>12</v>
      </c>
      <c r="I17" s="8" t="s">
        <v>73</v>
      </c>
      <c r="J17" s="8"/>
      <c r="L17" s="10"/>
      <c r="M17" s="2" t="s">
        <v>37</v>
      </c>
      <c r="N17" s="4">
        <f>B5+mp</f>
        <v>3.938272</v>
      </c>
      <c r="O17" s="4">
        <f t="shared" ref="O17:S17" si="3">C5+mp</f>
        <v>3.938272</v>
      </c>
      <c r="P17" s="4">
        <f t="shared" si="3"/>
        <v>3.938272</v>
      </c>
      <c r="Q17" s="4">
        <f t="shared" si="3"/>
        <v>8.9382719999999996</v>
      </c>
      <c r="R17" s="4">
        <f t="shared" si="3"/>
        <v>8.9382719999999996</v>
      </c>
      <c r="S17" s="4">
        <f t="shared" si="3"/>
        <v>8.9382719999999996</v>
      </c>
      <c r="T17" t="s">
        <v>63</v>
      </c>
      <c r="U17" t="s">
        <v>68</v>
      </c>
    </row>
    <row r="18" spans="1:21" x14ac:dyDescent="0.25">
      <c r="A18" s="8" t="s">
        <v>11</v>
      </c>
      <c r="B18" s="1">
        <v>3E-9</v>
      </c>
      <c r="C18" s="1">
        <v>3E-9</v>
      </c>
      <c r="D18" s="1">
        <v>3E-9</v>
      </c>
      <c r="E18" s="47">
        <v>3E-9</v>
      </c>
      <c r="F18" s="1">
        <v>3E-9</v>
      </c>
      <c r="G18" s="47">
        <v>3E-9</v>
      </c>
      <c r="H18" t="s">
        <v>14</v>
      </c>
      <c r="I18" s="8" t="s">
        <v>16</v>
      </c>
      <c r="J18" s="8"/>
      <c r="L18" s="8"/>
      <c r="M18" s="2" t="s">
        <v>38</v>
      </c>
      <c r="N18" s="4">
        <f t="shared" ref="N18" si="4">SQRT(N17^2-mp^2)</f>
        <v>3.8248701938758654</v>
      </c>
      <c r="O18" s="4">
        <f t="shared" ref="O18:R18" si="5">SQRT(O17^2-mp^2)</f>
        <v>3.8248701938758654</v>
      </c>
      <c r="P18" s="4">
        <f t="shared" si="5"/>
        <v>3.8248701938758654</v>
      </c>
      <c r="Q18" s="4">
        <f t="shared" si="5"/>
        <v>8.888889244444437</v>
      </c>
      <c r="R18" s="4">
        <f t="shared" si="5"/>
        <v>8.888889244444437</v>
      </c>
      <c r="S18" s="4">
        <f t="shared" ref="S18" si="6">SQRT(S17^2-mp^2)</f>
        <v>8.888889244444437</v>
      </c>
      <c r="T18" t="s">
        <v>70</v>
      </c>
      <c r="U18" t="s">
        <v>69</v>
      </c>
    </row>
    <row r="19" spans="1:21" s="18" customFormat="1" ht="15" customHeight="1" x14ac:dyDescent="0.25">
      <c r="A19" s="17" t="s">
        <v>15</v>
      </c>
      <c r="B19" s="18">
        <f>B7*B8/B13</f>
        <v>70</v>
      </c>
      <c r="C19" s="18">
        <f t="shared" ref="C19:F19" si="7">C7*C8/C13</f>
        <v>70</v>
      </c>
      <c r="D19" s="18">
        <f t="shared" si="7"/>
        <v>30</v>
      </c>
      <c r="E19" s="48">
        <f t="shared" ref="E19" si="8">E7*E8/E13</f>
        <v>15</v>
      </c>
      <c r="F19" s="18">
        <f t="shared" si="7"/>
        <v>15</v>
      </c>
      <c r="G19" s="48">
        <f t="shared" ref="G19" si="9">G7*G8/G13</f>
        <v>12</v>
      </c>
      <c r="H19" s="18" t="s">
        <v>17</v>
      </c>
      <c r="I19" s="17" t="s">
        <v>82</v>
      </c>
      <c r="J19" s="17"/>
      <c r="L19" s="30"/>
      <c r="M19" s="31" t="s">
        <v>25</v>
      </c>
      <c r="N19" s="32">
        <f>N18/N17</f>
        <v>0.97120518691341418</v>
      </c>
      <c r="O19" s="32">
        <f t="shared" ref="O19:S19" si="10">O18/O17</f>
        <v>0.97120518691341418</v>
      </c>
      <c r="P19" s="32">
        <f t="shared" si="10"/>
        <v>0.97120518691341418</v>
      </c>
      <c r="Q19" s="32">
        <f t="shared" si="10"/>
        <v>0.99447513394584963</v>
      </c>
      <c r="R19" s="32">
        <f t="shared" si="10"/>
        <v>0.99447513394584963</v>
      </c>
      <c r="S19" s="32">
        <f t="shared" si="10"/>
        <v>0.99447513394584963</v>
      </c>
      <c r="T19" s="32"/>
    </row>
    <row r="20" spans="1:21" s="18" customFormat="1" ht="15" customHeight="1" x14ac:dyDescent="0.25">
      <c r="A20" s="17" t="s">
        <v>18</v>
      </c>
      <c r="B20" s="18">
        <v>10</v>
      </c>
      <c r="C20" s="18">
        <v>10</v>
      </c>
      <c r="D20" s="18">
        <v>10</v>
      </c>
      <c r="E20" s="48">
        <v>10</v>
      </c>
      <c r="F20" s="18">
        <v>10</v>
      </c>
      <c r="G20" s="48">
        <v>10</v>
      </c>
      <c r="H20" s="18" t="s">
        <v>12</v>
      </c>
      <c r="I20" s="17" t="s">
        <v>19</v>
      </c>
      <c r="J20" s="17"/>
      <c r="L20" s="30"/>
      <c r="M20" s="31" t="s">
        <v>39</v>
      </c>
      <c r="N20" s="32">
        <f t="shared" ref="N20" si="11">N17/mp</f>
        <v>4.1973670747928109</v>
      </c>
      <c r="O20" s="32">
        <f t="shared" ref="O20:R20" si="12">O17/mp</f>
        <v>4.1973670747928109</v>
      </c>
      <c r="P20" s="32">
        <f t="shared" si="12"/>
        <v>4.1973670747928109</v>
      </c>
      <c r="Q20" s="32">
        <f t="shared" si="12"/>
        <v>9.526312199447494</v>
      </c>
      <c r="R20" s="32">
        <f t="shared" si="12"/>
        <v>9.526312199447494</v>
      </c>
      <c r="S20" s="32">
        <f t="shared" ref="S20" si="13">S17/mp</f>
        <v>9.526312199447494</v>
      </c>
      <c r="T20" s="32"/>
    </row>
    <row r="21" spans="1:21" s="18" customFormat="1" ht="15" customHeight="1" x14ac:dyDescent="0.25">
      <c r="A21" s="17" t="s">
        <v>20</v>
      </c>
      <c r="B21" s="18">
        <v>30</v>
      </c>
      <c r="C21" s="18">
        <v>30</v>
      </c>
      <c r="D21" s="18">
        <v>30</v>
      </c>
      <c r="E21" s="48">
        <v>30</v>
      </c>
      <c r="F21" s="18">
        <v>30</v>
      </c>
      <c r="G21" s="48">
        <v>30</v>
      </c>
      <c r="H21" s="18" t="s">
        <v>21</v>
      </c>
      <c r="I21" s="17" t="s">
        <v>22</v>
      </c>
      <c r="J21" s="17"/>
      <c r="L21" s="30"/>
      <c r="M21" s="31" t="s">
        <v>40</v>
      </c>
      <c r="N21" s="32">
        <f t="shared" ref="N21:N23" si="14">N19*N20</f>
        <v>4.0765046744183628</v>
      </c>
      <c r="O21" s="32">
        <f t="shared" ref="O21:R21" si="15">O19*O20</f>
        <v>4.0765046744183628</v>
      </c>
      <c r="P21" s="32">
        <f t="shared" si="15"/>
        <v>4.0765046744183628</v>
      </c>
      <c r="Q21" s="32">
        <f t="shared" si="15"/>
        <v>9.4736806005555287</v>
      </c>
      <c r="R21" s="32">
        <f t="shared" si="15"/>
        <v>9.4736806005555287</v>
      </c>
      <c r="S21" s="32">
        <f t="shared" ref="S21" si="16">S19*S20</f>
        <v>9.4736806005555287</v>
      </c>
      <c r="T21" s="32"/>
    </row>
    <row r="22" spans="1:21" x14ac:dyDescent="0.25">
      <c r="A22" s="8" t="s">
        <v>23</v>
      </c>
      <c r="B22" s="10">
        <f>1/3</f>
        <v>0.33333333333333331</v>
      </c>
      <c r="C22" s="10">
        <f>1/3</f>
        <v>0.33333333333333331</v>
      </c>
      <c r="D22" s="10">
        <f>1/3</f>
        <v>0.33333333333333331</v>
      </c>
      <c r="E22" s="49">
        <f t="shared" ref="E22:G22" si="17">1/3</f>
        <v>0.33333333333333331</v>
      </c>
      <c r="F22" s="10">
        <f t="shared" si="17"/>
        <v>0.33333333333333331</v>
      </c>
      <c r="G22" s="49">
        <f t="shared" si="17"/>
        <v>0.33333333333333331</v>
      </c>
      <c r="H22" t="s">
        <v>31</v>
      </c>
      <c r="I22" s="8" t="s">
        <v>24</v>
      </c>
      <c r="J22" s="8"/>
      <c r="M22" s="2" t="s">
        <v>41</v>
      </c>
      <c r="N22" s="9">
        <f t="shared" si="14"/>
        <v>17.110586500642622</v>
      </c>
      <c r="O22" s="9">
        <f t="shared" ref="O22:R22" si="18">O20*O21</f>
        <v>17.110586500642622</v>
      </c>
      <c r="P22" s="9">
        <f t="shared" si="18"/>
        <v>17.110586500642622</v>
      </c>
      <c r="Q22" s="9">
        <f t="shared" si="18"/>
        <v>90.249239078741198</v>
      </c>
      <c r="R22" s="9">
        <f t="shared" si="18"/>
        <v>90.249239078741198</v>
      </c>
      <c r="S22" s="9">
        <f t="shared" ref="S22" si="19">S20*S21</f>
        <v>90.249239078741198</v>
      </c>
      <c r="T22" s="9"/>
    </row>
    <row r="23" spans="1:21" x14ac:dyDescent="0.25">
      <c r="A23" s="8" t="s">
        <v>126</v>
      </c>
      <c r="B23" s="10">
        <v>1</v>
      </c>
      <c r="C23" s="10">
        <f>1/3</f>
        <v>0.33333333333333331</v>
      </c>
      <c r="D23" s="10">
        <f>1/3</f>
        <v>0.33333333333333331</v>
      </c>
      <c r="E23" s="49">
        <v>1</v>
      </c>
      <c r="F23" s="10">
        <v>1</v>
      </c>
      <c r="G23" s="49">
        <v>1</v>
      </c>
      <c r="H23" t="s">
        <v>31</v>
      </c>
      <c r="I23" s="8" t="s">
        <v>26</v>
      </c>
      <c r="J23" s="8"/>
      <c r="M23" s="2" t="s">
        <v>42</v>
      </c>
      <c r="N23" s="9">
        <f t="shared" si="14"/>
        <v>69.75138585190939</v>
      </c>
      <c r="O23" s="9">
        <f t="shared" ref="O23:R23" si="20">O21*O22</f>
        <v>69.75138585190939</v>
      </c>
      <c r="P23" s="9">
        <f t="shared" si="20"/>
        <v>69.75138585190939</v>
      </c>
      <c r="Q23" s="9">
        <f t="shared" si="20"/>
        <v>854.99246547516839</v>
      </c>
      <c r="R23" s="9">
        <f t="shared" si="20"/>
        <v>854.99246547516839</v>
      </c>
      <c r="S23" s="9">
        <f t="shared" ref="S23" si="21">S21*S22</f>
        <v>854.99246547516839</v>
      </c>
      <c r="T23" s="9"/>
    </row>
    <row r="24" spans="1:21" x14ac:dyDescent="0.25">
      <c r="A24" s="8" t="s">
        <v>27</v>
      </c>
      <c r="B24">
        <f>B17^2/B23</f>
        <v>6.25</v>
      </c>
      <c r="C24">
        <f>C17^2/C23</f>
        <v>12</v>
      </c>
      <c r="D24">
        <f>D17^2/D23</f>
        <v>12</v>
      </c>
      <c r="E24" s="44">
        <f t="shared" ref="E24:F24" si="22">E17^2/E23</f>
        <v>4</v>
      </c>
      <c r="F24">
        <f t="shared" si="22"/>
        <v>4</v>
      </c>
      <c r="G24" s="44">
        <f t="shared" ref="G24" si="23">G17^2/G23</f>
        <v>4</v>
      </c>
      <c r="H24" t="s">
        <v>28</v>
      </c>
      <c r="I24" s="8" t="s">
        <v>29</v>
      </c>
      <c r="J24" s="8"/>
    </row>
    <row r="25" spans="1:21" x14ac:dyDescent="0.25">
      <c r="A25" s="8" t="s">
        <v>32</v>
      </c>
      <c r="B25">
        <f>(B24/B23)^0.5</f>
        <v>2.5</v>
      </c>
      <c r="C25">
        <f>(C24/C23)^0.5</f>
        <v>6</v>
      </c>
      <c r="D25">
        <f>(D24/D23)^0.5</f>
        <v>6</v>
      </c>
      <c r="E25" s="44">
        <f>(E24/E23)^0.5</f>
        <v>2</v>
      </c>
      <c r="F25">
        <f t="shared" ref="F25" si="24">(F24/F23)^0.5</f>
        <v>2</v>
      </c>
      <c r="G25" s="44">
        <f t="shared" ref="G25" si="25">(G24/G23)^0.5</f>
        <v>2</v>
      </c>
      <c r="H25" t="s">
        <v>33</v>
      </c>
      <c r="I25" s="8" t="s">
        <v>74</v>
      </c>
      <c r="J25" s="8"/>
    </row>
    <row r="26" spans="1:21" x14ac:dyDescent="0.25">
      <c r="A26" s="8" t="s">
        <v>65</v>
      </c>
      <c r="B26" s="10">
        <f>6*B24*N21</f>
        <v>152.86892529068859</v>
      </c>
      <c r="C26" s="10">
        <f t="shared" ref="C26:G26" si="26">6*C24*O21</f>
        <v>293.5083365581221</v>
      </c>
      <c r="D26" s="10">
        <f t="shared" si="26"/>
        <v>293.5083365581221</v>
      </c>
      <c r="E26" s="49">
        <f>6*E24*Q21</f>
        <v>227.36833441333269</v>
      </c>
      <c r="F26" s="10">
        <f t="shared" si="26"/>
        <v>227.36833441333269</v>
      </c>
      <c r="G26" s="49">
        <f t="shared" si="26"/>
        <v>227.36833441333269</v>
      </c>
      <c r="H26" t="s">
        <v>28</v>
      </c>
      <c r="I26" s="8" t="s">
        <v>106</v>
      </c>
      <c r="J26" s="8"/>
    </row>
    <row r="27" spans="1:21" x14ac:dyDescent="0.25">
      <c r="A27" s="14" t="s">
        <v>43</v>
      </c>
      <c r="E27" s="44"/>
      <c r="G27" s="44"/>
      <c r="I27" s="8"/>
      <c r="J27" s="8"/>
      <c r="L27" s="10"/>
      <c r="M27" s="10"/>
      <c r="N27" s="10"/>
    </row>
    <row r="28" spans="1:21" x14ac:dyDescent="0.25">
      <c r="A28" s="14" t="s">
        <v>44</v>
      </c>
      <c r="B28" s="10">
        <f>B6/B5</f>
        <v>0.33333333333333331</v>
      </c>
      <c r="C28">
        <f t="shared" ref="C28:F28" si="27">C6/C5</f>
        <v>1</v>
      </c>
      <c r="D28">
        <f t="shared" si="27"/>
        <v>1</v>
      </c>
      <c r="E28" s="44">
        <f t="shared" ref="E28" si="28">E6/E5</f>
        <v>0.5</v>
      </c>
      <c r="F28">
        <f t="shared" si="27"/>
        <v>0.5</v>
      </c>
      <c r="G28" s="44">
        <f t="shared" ref="G28" si="29">G6/G5</f>
        <v>0.5</v>
      </c>
      <c r="H28" t="s">
        <v>107</v>
      </c>
      <c r="I28" s="8" t="s">
        <v>45</v>
      </c>
      <c r="J28" s="8"/>
      <c r="L28" s="10"/>
      <c r="M28" s="10"/>
      <c r="N28" s="10"/>
    </row>
    <row r="29" spans="1:21" x14ac:dyDescent="0.25">
      <c r="A29" s="14" t="s">
        <v>46</v>
      </c>
      <c r="B29" s="10">
        <f>1/3</f>
        <v>0.33333333333333331</v>
      </c>
      <c r="C29">
        <v>1</v>
      </c>
      <c r="D29">
        <v>1</v>
      </c>
      <c r="E29" s="44">
        <v>0.1</v>
      </c>
      <c r="F29">
        <v>0.1</v>
      </c>
      <c r="G29" s="44">
        <v>0.1</v>
      </c>
      <c r="I29" s="8" t="s">
        <v>77</v>
      </c>
      <c r="J29" s="8"/>
    </row>
    <row r="30" spans="1:21" x14ac:dyDescent="0.25">
      <c r="A30" s="14" t="s">
        <v>47</v>
      </c>
      <c r="B30" s="10">
        <f t="shared" ref="B30:F30" si="30">B28/B29</f>
        <v>1</v>
      </c>
      <c r="C30" s="10">
        <f t="shared" si="30"/>
        <v>1</v>
      </c>
      <c r="D30" s="10">
        <f t="shared" si="30"/>
        <v>1</v>
      </c>
      <c r="E30" s="49">
        <f t="shared" ref="E30" si="31">E28/E29</f>
        <v>5</v>
      </c>
      <c r="F30" s="10">
        <f t="shared" si="30"/>
        <v>5</v>
      </c>
      <c r="G30" s="49">
        <f t="shared" ref="G30" si="32">G28/G29</f>
        <v>5</v>
      </c>
      <c r="H30" t="s">
        <v>107</v>
      </c>
      <c r="I30" s="8" t="s">
        <v>78</v>
      </c>
      <c r="J30" s="8"/>
    </row>
    <row r="31" spans="1:21" x14ac:dyDescent="0.25">
      <c r="A31" s="14" t="s">
        <v>48</v>
      </c>
      <c r="B31" s="1">
        <f>0.001*B28/e</f>
        <v>2080472683393666.7</v>
      </c>
      <c r="C31" s="1">
        <f t="shared" ref="C31:F31" si="33">0.001*C28/e</f>
        <v>6241418050181001</v>
      </c>
      <c r="D31" s="1">
        <f t="shared" si="33"/>
        <v>6241418050181001</v>
      </c>
      <c r="E31" s="47">
        <f t="shared" ref="E31" si="34">0.001*E28/e</f>
        <v>3120709025090500.5</v>
      </c>
      <c r="F31" s="1">
        <f t="shared" si="33"/>
        <v>3120709025090500.5</v>
      </c>
      <c r="G31" s="47">
        <f t="shared" ref="G31" si="35">0.001*G28/e</f>
        <v>3120709025090500.5</v>
      </c>
      <c r="H31" t="s">
        <v>49</v>
      </c>
      <c r="I31" s="8" t="s">
        <v>50</v>
      </c>
      <c r="J31" s="8"/>
    </row>
    <row r="32" spans="1:21" x14ac:dyDescent="0.25">
      <c r="A32" s="14" t="s">
        <v>51</v>
      </c>
      <c r="B32" s="1">
        <f t="shared" ref="B32:F33" si="36">B31/B7</f>
        <v>29721038334195.238</v>
      </c>
      <c r="C32" s="1">
        <f t="shared" si="36"/>
        <v>89163115002585.734</v>
      </c>
      <c r="D32" s="1">
        <f t="shared" si="36"/>
        <v>208047268339366.69</v>
      </c>
      <c r="E32" s="47">
        <f t="shared" ref="E32" si="37">E31/E7</f>
        <v>208047268339366.69</v>
      </c>
      <c r="F32" s="1">
        <f t="shared" si="36"/>
        <v>208047268339366.69</v>
      </c>
      <c r="G32" s="47">
        <f t="shared" ref="G32" si="38">G31/G7</f>
        <v>260059085424208.37</v>
      </c>
      <c r="I32" s="8" t="s">
        <v>52</v>
      </c>
      <c r="J32" s="8"/>
    </row>
    <row r="33" spans="1:13" x14ac:dyDescent="0.25">
      <c r="A33" s="14" t="s">
        <v>53</v>
      </c>
      <c r="B33" s="1">
        <f>B32/B8</f>
        <v>14860519167097.619</v>
      </c>
      <c r="C33" s="1">
        <f t="shared" si="36"/>
        <v>22290778750646.434</v>
      </c>
      <c r="D33" s="1">
        <f t="shared" si="36"/>
        <v>52011817084841.672</v>
      </c>
      <c r="E33" s="47">
        <f t="shared" ref="E33" si="39">E32/E8</f>
        <v>52011817084841.672</v>
      </c>
      <c r="F33" s="1">
        <f t="shared" si="36"/>
        <v>52011817084841.672</v>
      </c>
      <c r="G33" s="47">
        <f t="shared" ref="G33" si="40">G32/G8</f>
        <v>65014771356052.094</v>
      </c>
      <c r="I33" s="8" t="s">
        <v>54</v>
      </c>
      <c r="J33" s="8"/>
    </row>
    <row r="34" spans="1:13" x14ac:dyDescent="0.25">
      <c r="A34" s="14" t="s">
        <v>117</v>
      </c>
      <c r="E34" s="44"/>
      <c r="G34" s="44"/>
      <c r="I34" s="8"/>
      <c r="J34" s="8"/>
    </row>
    <row r="35" spans="1:13" x14ac:dyDescent="0.25">
      <c r="A35" s="14" t="s">
        <v>55</v>
      </c>
      <c r="B35" s="6">
        <v>1.8</v>
      </c>
      <c r="C35" s="6">
        <v>1.8</v>
      </c>
      <c r="D35" s="6">
        <v>1.8</v>
      </c>
      <c r="E35" s="50">
        <v>1.8</v>
      </c>
      <c r="F35" s="11">
        <v>1.8</v>
      </c>
      <c r="G35" s="50">
        <v>1.8</v>
      </c>
      <c r="H35" s="5" t="s">
        <v>64</v>
      </c>
      <c r="I35" s="14" t="s">
        <v>75</v>
      </c>
      <c r="J35" s="8"/>
    </row>
    <row r="36" spans="1:13" x14ac:dyDescent="0.25">
      <c r="A36" s="14" t="s">
        <v>56</v>
      </c>
      <c r="B36" s="11">
        <f t="shared" ref="B36:G36" si="41">N18/(B35*c_*10^-9)</f>
        <v>7.0878181637311268</v>
      </c>
      <c r="C36" s="11">
        <f t="shared" si="41"/>
        <v>7.0878181637311268</v>
      </c>
      <c r="D36" s="11">
        <f t="shared" si="41"/>
        <v>7.0878181637311268</v>
      </c>
      <c r="E36" s="50">
        <f t="shared" si="41"/>
        <v>16.471887266408043</v>
      </c>
      <c r="F36" s="11">
        <f t="shared" si="41"/>
        <v>16.471887266408043</v>
      </c>
      <c r="G36" s="50">
        <f t="shared" si="41"/>
        <v>16.471887266408043</v>
      </c>
      <c r="H36" s="2" t="s">
        <v>31</v>
      </c>
      <c r="I36" s="14" t="s">
        <v>57</v>
      </c>
      <c r="J36" s="8"/>
    </row>
    <row r="37" spans="1:13" x14ac:dyDescent="0.25">
      <c r="A37" s="14" t="s">
        <v>58</v>
      </c>
      <c r="B37" s="6">
        <v>0.5</v>
      </c>
      <c r="C37" s="6">
        <v>0.5</v>
      </c>
      <c r="D37" s="6">
        <v>0.5</v>
      </c>
      <c r="E37" s="51">
        <v>0.5</v>
      </c>
      <c r="F37" s="6">
        <v>0.5</v>
      </c>
      <c r="G37" s="51">
        <v>0.5</v>
      </c>
      <c r="H37" s="6"/>
      <c r="I37" s="14" t="s">
        <v>59</v>
      </c>
      <c r="J37" s="8"/>
    </row>
    <row r="38" spans="1:13" x14ac:dyDescent="0.25">
      <c r="A38" s="14" t="s">
        <v>60</v>
      </c>
      <c r="B38" s="11">
        <f>B36/B37</f>
        <v>14.175636327462254</v>
      </c>
      <c r="C38" s="11">
        <f t="shared" ref="C38:F38" si="42">C36/C37</f>
        <v>14.175636327462254</v>
      </c>
      <c r="D38" s="11">
        <f t="shared" si="42"/>
        <v>14.175636327462254</v>
      </c>
      <c r="E38" s="50">
        <f t="shared" ref="E38" si="43">E36/E37</f>
        <v>32.943774532816086</v>
      </c>
      <c r="F38" s="11">
        <f t="shared" si="42"/>
        <v>32.943774532816086</v>
      </c>
      <c r="G38" s="50">
        <f t="shared" ref="G38" si="44">G36/G37</f>
        <v>32.943774532816086</v>
      </c>
      <c r="H38" s="2" t="s">
        <v>31</v>
      </c>
      <c r="I38" s="14" t="s">
        <v>61</v>
      </c>
      <c r="J38" s="8"/>
    </row>
    <row r="39" spans="1:13" x14ac:dyDescent="0.25">
      <c r="A39" s="14" t="s">
        <v>10</v>
      </c>
      <c r="B39" s="11">
        <f t="shared" ref="B39:F39" si="45">2*pi*B38</f>
        <v>89.068149892637891</v>
      </c>
      <c r="C39" s="11">
        <f t="shared" si="45"/>
        <v>89.068149892637891</v>
      </c>
      <c r="D39" s="11">
        <f t="shared" si="45"/>
        <v>89.068149892637891</v>
      </c>
      <c r="E39" s="50">
        <f t="shared" ref="E39" si="46">2*pi*E38</f>
        <v>206.99184010764071</v>
      </c>
      <c r="F39" s="11">
        <f t="shared" si="45"/>
        <v>206.99184010764071</v>
      </c>
      <c r="G39" s="50">
        <f t="shared" ref="G39" si="47">2*pi*G38</f>
        <v>206.99184010764071</v>
      </c>
      <c r="H39" s="2" t="s">
        <v>31</v>
      </c>
      <c r="I39" s="14" t="s">
        <v>62</v>
      </c>
      <c r="J39" s="8"/>
    </row>
    <row r="40" spans="1:13" x14ac:dyDescent="0.25">
      <c r="A40" s="14" t="s">
        <v>112</v>
      </c>
      <c r="B40" s="11">
        <v>0.5</v>
      </c>
      <c r="C40" s="11">
        <v>0.3</v>
      </c>
      <c r="D40" s="11">
        <v>0.3</v>
      </c>
      <c r="E40" s="50">
        <v>0.5</v>
      </c>
      <c r="F40" s="11">
        <v>0.5</v>
      </c>
      <c r="G40" s="50">
        <v>0.5</v>
      </c>
      <c r="H40" s="2"/>
      <c r="I40" s="14" t="s">
        <v>114</v>
      </c>
      <c r="J40" s="8"/>
    </row>
    <row r="41" spans="1:13" x14ac:dyDescent="0.25">
      <c r="A41" s="14" t="s">
        <v>120</v>
      </c>
      <c r="B41" s="7">
        <f t="shared" ref="B41:G41" si="48">B39*B40*B9/(B8*N19*c_*SQRT(12))</f>
        <v>4.4152895655771916E-8</v>
      </c>
      <c r="C41" s="7">
        <f t="shared" si="48"/>
        <v>2.6491737393463151E-8</v>
      </c>
      <c r="D41" s="7">
        <f t="shared" si="48"/>
        <v>2.6491737393463151E-8</v>
      </c>
      <c r="E41" s="52">
        <f t="shared" si="48"/>
        <v>1.0020907417235473E-7</v>
      </c>
      <c r="F41" s="7">
        <f t="shared" si="48"/>
        <v>2.5052268543088681E-8</v>
      </c>
      <c r="G41" s="52">
        <f t="shared" si="48"/>
        <v>2.5052268543088681E-8</v>
      </c>
      <c r="H41" s="5" t="s">
        <v>14</v>
      </c>
      <c r="I41" s="14" t="s">
        <v>121</v>
      </c>
      <c r="J41" s="8"/>
    </row>
    <row r="42" spans="1:13" x14ac:dyDescent="0.25">
      <c r="A42" s="14" t="s">
        <v>123</v>
      </c>
      <c r="B42" s="11">
        <f>B41/B18</f>
        <v>14.717631885257305</v>
      </c>
      <c r="C42" s="11">
        <f t="shared" ref="C42:F42" si="49">C41/C18</f>
        <v>8.8305791311543835</v>
      </c>
      <c r="D42" s="11">
        <f t="shared" si="49"/>
        <v>8.8305791311543835</v>
      </c>
      <c r="E42" s="50">
        <f t="shared" ref="E42" si="50">E41/E18</f>
        <v>33.403024724118239</v>
      </c>
      <c r="F42" s="11">
        <f t="shared" si="49"/>
        <v>8.3507561810295599</v>
      </c>
      <c r="G42" s="50">
        <f t="shared" ref="G42" si="51">G41/G18</f>
        <v>8.3507561810295599</v>
      </c>
      <c r="H42" s="2"/>
      <c r="I42" s="14" t="s">
        <v>122</v>
      </c>
      <c r="J42" s="8"/>
    </row>
    <row r="43" spans="1:13" x14ac:dyDescent="0.25">
      <c r="A43" s="14" t="s">
        <v>113</v>
      </c>
      <c r="B43" s="7">
        <f>B45*B44/B40</f>
        <v>-8.3277875146412911E-3</v>
      </c>
      <c r="C43" s="7">
        <f t="shared" ref="C43:F43" si="52">C45*C44/C40</f>
        <v>-1.084347332635585E-2</v>
      </c>
      <c r="D43" s="7">
        <f t="shared" si="52"/>
        <v>-2.0641238597692668E-3</v>
      </c>
      <c r="E43" s="53">
        <f>E45*E44/E40</f>
        <v>-3.7154229475846808E-3</v>
      </c>
      <c r="F43" s="7">
        <f t="shared" si="52"/>
        <v>-3.7154229475846799E-3</v>
      </c>
      <c r="G43" s="52">
        <f t="shared" ref="G43" si="53">G45*G44/G40</f>
        <v>-4.6442786844808513E-3</v>
      </c>
      <c r="H43" s="2"/>
      <c r="I43" s="14" t="s">
        <v>115</v>
      </c>
      <c r="J43" s="8"/>
    </row>
    <row r="44" spans="1:13" x14ac:dyDescent="0.25">
      <c r="A44" s="14" t="s">
        <v>111</v>
      </c>
      <c r="B44" s="7">
        <f>(2*pi)^0.5*B18*N19*c_/B39</f>
        <v>2.4582801778155791E-2</v>
      </c>
      <c r="C44" s="7">
        <f>(2*pi)^0.5*C18*P19*c_/C39</f>
        <v>2.4582801778155791E-2</v>
      </c>
      <c r="D44" s="7">
        <f>(2*pi)^0.5*D18*Q19*c_/D39</f>
        <v>2.5171802437331164E-2</v>
      </c>
      <c r="E44" s="52">
        <f>(2*pi)^0.5*E18*Q19*c_/E39</f>
        <v>1.0831373214471562E-2</v>
      </c>
      <c r="F44" s="7">
        <f>(2*pi)^0.5*F18*R20*c_/F39</f>
        <v>0.10375628235206101</v>
      </c>
      <c r="G44" s="52">
        <f>(2*pi)^0.5*G18*S20*c_/G39</f>
        <v>0.10375628235206101</v>
      </c>
      <c r="H44" s="6"/>
      <c r="I44" s="14" t="s">
        <v>108</v>
      </c>
      <c r="J44" s="8"/>
    </row>
    <row r="45" spans="1:13" x14ac:dyDescent="0.25">
      <c r="A45" s="14" t="s">
        <v>110</v>
      </c>
      <c r="B45" s="7">
        <f>-rp*B33/(4*pi*N23*B24*10^-6*B44)</f>
        <v>-0.16938239159625287</v>
      </c>
      <c r="C45" s="7">
        <f>-rp*C33/(4*pi*P23*C24*10^-6*C44)</f>
        <v>-0.13232999343457258</v>
      </c>
      <c r="D45" s="7">
        <f>-rp*D33/(4*pi*Q23*D24*10^-6*D44)</f>
        <v>-2.4600429765506873E-2</v>
      </c>
      <c r="E45" s="52">
        <f>-rp*E33/(4*pi*Q23*E24*10^-6*E44)</f>
        <v>-0.17151209149642194</v>
      </c>
      <c r="F45" s="7">
        <f>-rp*F33/(4*pi*R23*F24*10^-6*F44)</f>
        <v>-1.7904568587845501E-2</v>
      </c>
      <c r="G45" s="52">
        <f>-rp*G33/(4*pi*S23*G24*10^-6*G44)</f>
        <v>-2.238071073480688E-2</v>
      </c>
      <c r="H45" s="6"/>
      <c r="I45" s="14" t="s">
        <v>109</v>
      </c>
      <c r="J45" s="8"/>
    </row>
    <row r="46" spans="1:13" ht="18.75" x14ac:dyDescent="0.25">
      <c r="A46" s="37" t="s">
        <v>128</v>
      </c>
      <c r="E46" s="47"/>
      <c r="F46" s="1"/>
      <c r="G46" s="47"/>
      <c r="I46" s="8"/>
      <c r="J46" s="8"/>
    </row>
    <row r="47" spans="1:13" x14ac:dyDescent="0.25">
      <c r="A47" s="14" t="s">
        <v>145</v>
      </c>
      <c r="E47" s="47"/>
      <c r="F47" s="1"/>
      <c r="G47" s="47"/>
      <c r="I47" s="8"/>
      <c r="J47" s="8"/>
    </row>
    <row r="48" spans="1:13" x14ac:dyDescent="0.25">
      <c r="A48" s="14" t="s">
        <v>131</v>
      </c>
      <c r="B48">
        <v>4</v>
      </c>
      <c r="C48">
        <v>4</v>
      </c>
      <c r="D48">
        <v>63</v>
      </c>
      <c r="E48" s="44">
        <f>126/2</f>
        <v>63</v>
      </c>
      <c r="F48">
        <v>750</v>
      </c>
      <c r="G48" s="44">
        <v>1500</v>
      </c>
      <c r="H48" t="s">
        <v>63</v>
      </c>
      <c r="I48" s="14" t="s">
        <v>130</v>
      </c>
      <c r="J48" s="8"/>
      <c r="M48" s="8" t="s">
        <v>129</v>
      </c>
    </row>
    <row r="49" spans="1:20" x14ac:dyDescent="0.25">
      <c r="A49" s="14" t="s">
        <v>55</v>
      </c>
      <c r="B49">
        <v>8</v>
      </c>
      <c r="C49">
        <v>8</v>
      </c>
      <c r="D49">
        <v>8</v>
      </c>
      <c r="E49" s="44">
        <v>8</v>
      </c>
      <c r="F49">
        <v>6.5</v>
      </c>
      <c r="G49" s="44">
        <v>6.5</v>
      </c>
      <c r="H49" t="s">
        <v>133</v>
      </c>
      <c r="I49" s="14" t="s">
        <v>132</v>
      </c>
      <c r="J49" s="8"/>
      <c r="M49" s="2" t="s">
        <v>37</v>
      </c>
      <c r="N49" s="4">
        <f t="shared" ref="N49:S49" si="54">B48+mmu</f>
        <v>4.105658</v>
      </c>
      <c r="O49" s="4">
        <f t="shared" si="54"/>
        <v>4.105658</v>
      </c>
      <c r="P49" s="4">
        <f t="shared" si="54"/>
        <v>63.105657999999998</v>
      </c>
      <c r="Q49" s="4">
        <f t="shared" si="54"/>
        <v>63.105657999999998</v>
      </c>
      <c r="R49" s="4">
        <f t="shared" si="54"/>
        <v>750.10565799999995</v>
      </c>
      <c r="S49" s="4">
        <f t="shared" si="54"/>
        <v>1500.1056579999999</v>
      </c>
      <c r="T49" s="4"/>
    </row>
    <row r="50" spans="1:20" x14ac:dyDescent="0.25">
      <c r="A50" s="14" t="s">
        <v>140</v>
      </c>
      <c r="B50" s="10">
        <f t="shared" ref="B50:G50" si="55">N50/(0.2998*B49)</f>
        <v>1.7112651078960057</v>
      </c>
      <c r="C50" s="10">
        <f t="shared" si="55"/>
        <v>1.7112651078960057</v>
      </c>
      <c r="D50" s="10">
        <f t="shared" si="55"/>
        <v>26.311528330628146</v>
      </c>
      <c r="E50" s="49">
        <f t="shared" si="55"/>
        <v>26.311528330628146</v>
      </c>
      <c r="F50" s="10">
        <f t="shared" si="55"/>
        <v>384.92618184360833</v>
      </c>
      <c r="G50" s="49">
        <f t="shared" si="55"/>
        <v>769.79814967878974</v>
      </c>
      <c r="H50" t="s">
        <v>136</v>
      </c>
      <c r="I50" s="14" t="s">
        <v>134</v>
      </c>
      <c r="J50" s="8"/>
      <c r="M50" s="2" t="s">
        <v>38</v>
      </c>
      <c r="N50" s="4">
        <f t="shared" ref="N50" si="56">SQRT(N49^2-mmu^2)</f>
        <v>4.1042982347777803</v>
      </c>
      <c r="O50" s="4">
        <f t="shared" ref="O50:R50" si="57">SQRT(O49^2-mmu^2)</f>
        <v>4.1042982347777803</v>
      </c>
      <c r="P50" s="4">
        <f t="shared" si="57"/>
        <v>63.105569548178551</v>
      </c>
      <c r="Q50" s="4">
        <f t="shared" si="57"/>
        <v>63.105569548178551</v>
      </c>
      <c r="R50" s="4">
        <f t="shared" si="57"/>
        <v>750.10565055863958</v>
      </c>
      <c r="S50" s="4">
        <f t="shared" ref="S50" si="58">SQRT(S49^2-mmu^2)</f>
        <v>1500.1056542790577</v>
      </c>
      <c r="T50" s="4"/>
    </row>
    <row r="51" spans="1:20" x14ac:dyDescent="0.25">
      <c r="A51" s="14" t="s">
        <v>135</v>
      </c>
      <c r="B51">
        <v>2</v>
      </c>
      <c r="C51">
        <v>2</v>
      </c>
      <c r="D51">
        <v>2</v>
      </c>
      <c r="E51" s="44">
        <v>2</v>
      </c>
      <c r="F51">
        <v>2</v>
      </c>
      <c r="G51" s="44">
        <v>2</v>
      </c>
      <c r="I51" s="14" t="s">
        <v>141</v>
      </c>
      <c r="J51" s="8"/>
      <c r="M51" s="31" t="s">
        <v>25</v>
      </c>
      <c r="N51" s="32">
        <f>N50/N49</f>
        <v>0.99966880699215088</v>
      </c>
      <c r="O51" s="32">
        <f t="shared" ref="O51:S51" si="59">O50/O49</f>
        <v>0.99966880699215088</v>
      </c>
      <c r="P51" s="32">
        <f t="shared" si="59"/>
        <v>0.99999859835355098</v>
      </c>
      <c r="Q51" s="32">
        <f t="shared" si="59"/>
        <v>0.99999859835355098</v>
      </c>
      <c r="R51" s="32">
        <f t="shared" si="59"/>
        <v>0.99999999007958373</v>
      </c>
      <c r="S51" s="32">
        <f t="shared" si="59"/>
        <v>0.9999999975195466</v>
      </c>
      <c r="T51" s="32"/>
    </row>
    <row r="52" spans="1:20" x14ac:dyDescent="0.25">
      <c r="A52" s="14" t="s">
        <v>137</v>
      </c>
      <c r="B52" s="44">
        <v>470</v>
      </c>
      <c r="C52" s="44">
        <v>470</v>
      </c>
      <c r="D52">
        <v>50</v>
      </c>
      <c r="E52" s="44">
        <v>50</v>
      </c>
      <c r="F52">
        <v>100</v>
      </c>
      <c r="G52" s="44">
        <v>100</v>
      </c>
      <c r="H52" t="s">
        <v>136</v>
      </c>
      <c r="I52" s="14" t="s">
        <v>138</v>
      </c>
      <c r="J52" s="8"/>
      <c r="M52" s="31" t="s">
        <v>39</v>
      </c>
      <c r="N52" s="32">
        <f t="shared" ref="N52" si="60">N49/mmu</f>
        <v>38.857994662022755</v>
      </c>
      <c r="O52" s="32">
        <f t="shared" ref="O52:R52" si="61">O49/mmu</f>
        <v>38.857994662022755</v>
      </c>
      <c r="P52" s="32">
        <f t="shared" si="61"/>
        <v>597.26341592685833</v>
      </c>
      <c r="Q52" s="32">
        <f t="shared" si="61"/>
        <v>597.26341592685833</v>
      </c>
      <c r="R52" s="32">
        <f t="shared" si="61"/>
        <v>7099.3739991292659</v>
      </c>
      <c r="S52" s="32">
        <f t="shared" ref="S52" si="62">S49/mmu</f>
        <v>14197.747998258532</v>
      </c>
      <c r="T52" s="32"/>
    </row>
    <row r="53" spans="1:20" x14ac:dyDescent="0.25">
      <c r="A53" s="14" t="s">
        <v>139</v>
      </c>
      <c r="B53">
        <v>2</v>
      </c>
      <c r="C53">
        <v>2</v>
      </c>
      <c r="D53">
        <v>2</v>
      </c>
      <c r="E53" s="44">
        <v>2</v>
      </c>
      <c r="F53">
        <v>2</v>
      </c>
      <c r="G53" s="44">
        <v>2</v>
      </c>
      <c r="I53" s="14" t="s">
        <v>142</v>
      </c>
      <c r="J53" s="8"/>
      <c r="M53" s="31" t="s">
        <v>40</v>
      </c>
      <c r="N53" s="32">
        <f t="shared" ref="N53" si="63">N51*N52</f>
        <v>38.845125165891652</v>
      </c>
      <c r="O53" s="32">
        <f t="shared" ref="O53:R53" si="64">O51*O52</f>
        <v>38.845125165891652</v>
      </c>
      <c r="P53" s="32">
        <f t="shared" si="64"/>
        <v>597.26257877471221</v>
      </c>
      <c r="Q53" s="32">
        <f t="shared" si="64"/>
        <v>597.26257877471221</v>
      </c>
      <c r="R53" s="32">
        <f t="shared" si="64"/>
        <v>7099.373928700521</v>
      </c>
      <c r="S53" s="32">
        <f t="shared" ref="S53" si="65">S51*S52</f>
        <v>14197.74796304168</v>
      </c>
      <c r="T53" s="32"/>
    </row>
    <row r="54" spans="1:20" x14ac:dyDescent="0.25">
      <c r="A54" s="14" t="s">
        <v>195</v>
      </c>
      <c r="B54" s="10">
        <f t="shared" ref="B54:G54" si="66">B51*pi*B50+B53*B52</f>
        <v>950.75219578262192</v>
      </c>
      <c r="C54" s="10">
        <f t="shared" si="66"/>
        <v>950.75219578262192</v>
      </c>
      <c r="D54" s="10">
        <f t="shared" si="66"/>
        <v>265.32020821645312</v>
      </c>
      <c r="E54" s="10">
        <f t="shared" si="66"/>
        <v>265.32020821645312</v>
      </c>
      <c r="F54" s="10">
        <f t="shared" si="66"/>
        <v>2618.562530108657</v>
      </c>
      <c r="G54" s="10">
        <f t="shared" si="66"/>
        <v>5036.7844235561224</v>
      </c>
      <c r="H54" t="s">
        <v>136</v>
      </c>
      <c r="I54" s="14" t="s">
        <v>62</v>
      </c>
      <c r="J54" s="8"/>
      <c r="M54" s="31"/>
      <c r="N54" s="32"/>
      <c r="O54" s="32"/>
      <c r="P54" s="32"/>
      <c r="Q54" s="32"/>
      <c r="R54" s="32"/>
      <c r="S54" s="32"/>
      <c r="T54" s="32"/>
    </row>
    <row r="55" spans="1:20" x14ac:dyDescent="0.25">
      <c r="A55" s="67" t="s">
        <v>196</v>
      </c>
      <c r="B55" s="49">
        <v>1190</v>
      </c>
      <c r="C55" s="49">
        <v>1190</v>
      </c>
      <c r="D55" s="49">
        <v>300</v>
      </c>
      <c r="E55" s="49">
        <v>300</v>
      </c>
      <c r="F55" s="49">
        <v>2500</v>
      </c>
      <c r="G55" s="49">
        <v>4400</v>
      </c>
      <c r="H55" s="44" t="s">
        <v>136</v>
      </c>
      <c r="I55" s="67" t="s">
        <v>62</v>
      </c>
      <c r="J55" s="8"/>
      <c r="M55" s="2" t="s">
        <v>41</v>
      </c>
      <c r="N55" s="3">
        <f>N52*N53</f>
        <v>1509.4436663418235</v>
      </c>
      <c r="O55" s="3">
        <f t="shared" ref="O55:R55" si="67">O52*O53</f>
        <v>1509.4436663418235</v>
      </c>
      <c r="P55" s="3">
        <f t="shared" si="67"/>
        <v>356723.08800426894</v>
      </c>
      <c r="Q55" s="3">
        <f t="shared" si="67"/>
        <v>356723.08800426894</v>
      </c>
      <c r="R55" s="3">
        <f t="shared" si="67"/>
        <v>50401110.679512665</v>
      </c>
      <c r="S55" s="3">
        <f t="shared" ref="S55" si="68">S52*S53</f>
        <v>201576047.72205415</v>
      </c>
      <c r="T55" s="3"/>
    </row>
    <row r="56" spans="1:20" x14ac:dyDescent="0.25">
      <c r="A56" s="14" t="s">
        <v>143</v>
      </c>
      <c r="B56" s="10">
        <f>B52/B55</f>
        <v>0.3949579831932773</v>
      </c>
      <c r="C56" s="10">
        <f t="shared" ref="C56:F56" si="69">C52/C55</f>
        <v>0.3949579831932773</v>
      </c>
      <c r="D56" s="10">
        <f t="shared" si="69"/>
        <v>0.16666666666666666</v>
      </c>
      <c r="E56" s="49">
        <f t="shared" ref="E56" si="70">E52/E55</f>
        <v>0.16666666666666666</v>
      </c>
      <c r="F56" s="10">
        <f t="shared" si="69"/>
        <v>0.04</v>
      </c>
      <c r="G56" s="49">
        <f t="shared" ref="G56" si="71">G52/G55</f>
        <v>2.2727272727272728E-2</v>
      </c>
      <c r="I56" s="14" t="s">
        <v>144</v>
      </c>
      <c r="J56" s="8"/>
      <c r="M56" s="2" t="s">
        <v>42</v>
      </c>
      <c r="N56" s="3">
        <f>N53*N55</f>
        <v>58634.528149910526</v>
      </c>
      <c r="O56" s="3">
        <f t="shared" ref="O56:R56" si="72">O53*O55</f>
        <v>58634.528149910526</v>
      </c>
      <c r="P56" s="3">
        <f t="shared" si="72"/>
        <v>213057351.44990829</v>
      </c>
      <c r="Q56" s="3">
        <f t="shared" si="72"/>
        <v>213057351.44990829</v>
      </c>
      <c r="R56" s="3">
        <f t="shared" si="72"/>
        <v>357816331135.68164</v>
      </c>
      <c r="S56" s="3">
        <f t="shared" ref="S56" si="73">S53*S55</f>
        <v>2861925920943.7866</v>
      </c>
      <c r="T56" s="3"/>
    </row>
    <row r="57" spans="1:20" x14ac:dyDescent="0.25">
      <c r="A57" s="14" t="s">
        <v>147</v>
      </c>
      <c r="B57" s="1">
        <f>N51*c_/B55</f>
        <v>251849.3347363419</v>
      </c>
      <c r="C57" s="1">
        <f>P51*c_/C55</f>
        <v>251932.41998856689</v>
      </c>
      <c r="D57" s="1">
        <f>P51*c_/D55</f>
        <v>999331.93262131535</v>
      </c>
      <c r="E57" s="47">
        <f>Q51*c_/E55</f>
        <v>999331.93262131535</v>
      </c>
      <c r="F57" s="1">
        <f>R51*c_/F55</f>
        <v>119919.99881034368</v>
      </c>
      <c r="G57" s="47">
        <f>S51*c_/G55</f>
        <v>68136.36346735456</v>
      </c>
      <c r="H57" t="s">
        <v>148</v>
      </c>
      <c r="I57" s="14" t="s">
        <v>149</v>
      </c>
      <c r="J57" s="8"/>
      <c r="M57" s="2"/>
      <c r="N57" s="9"/>
      <c r="O57" s="9"/>
      <c r="P57" s="9"/>
      <c r="Q57" s="9"/>
      <c r="R57" s="9"/>
      <c r="S57" s="9"/>
    </row>
    <row r="58" spans="1:20" x14ac:dyDescent="0.25">
      <c r="A58" s="14" t="s">
        <v>150</v>
      </c>
      <c r="B58" s="1">
        <f>1/B57</f>
        <v>3.9706279194538596E-6</v>
      </c>
      <c r="C58" s="1">
        <f t="shared" ref="C58:F58" si="74">1/C57</f>
        <v>3.9693184388312616E-6</v>
      </c>
      <c r="D58" s="1">
        <f t="shared" si="74"/>
        <v>1.0006685139910743E-6</v>
      </c>
      <c r="E58" s="47">
        <f t="shared" ref="E58" si="75">1/E57</f>
        <v>1.0006685139910743E-6</v>
      </c>
      <c r="F58" s="1">
        <f t="shared" si="74"/>
        <v>8.3388926777886617E-6</v>
      </c>
      <c r="G58" s="47">
        <f t="shared" ref="G58" si="76">1/G57</f>
        <v>1.4676451003715795E-5</v>
      </c>
      <c r="H58" t="s">
        <v>14</v>
      </c>
      <c r="I58" s="14" t="s">
        <v>151</v>
      </c>
      <c r="J58" s="8"/>
      <c r="M58" s="2"/>
      <c r="N58" s="9"/>
      <c r="O58" s="9"/>
      <c r="P58" s="9"/>
      <c r="Q58" s="9"/>
      <c r="R58" s="9"/>
      <c r="S58" s="9"/>
    </row>
    <row r="59" spans="1:20" x14ac:dyDescent="0.25">
      <c r="A59" s="14" t="s">
        <v>146</v>
      </c>
      <c r="E59" s="44"/>
      <c r="G59" s="44"/>
      <c r="I59" s="8"/>
      <c r="J59" s="8"/>
    </row>
    <row r="60" spans="1:20" x14ac:dyDescent="0.25">
      <c r="A60" s="14" t="s">
        <v>153</v>
      </c>
      <c r="B60">
        <v>0.02</v>
      </c>
      <c r="C60">
        <v>0.02</v>
      </c>
      <c r="D60">
        <v>0.02</v>
      </c>
      <c r="E60" s="44">
        <v>0.08</v>
      </c>
      <c r="F60">
        <v>0.08</v>
      </c>
      <c r="G60" s="44">
        <v>0.08</v>
      </c>
      <c r="I60" s="14" t="s">
        <v>155</v>
      </c>
      <c r="J60" s="8"/>
    </row>
    <row r="61" spans="1:20" x14ac:dyDescent="0.25">
      <c r="A61" s="14" t="s">
        <v>154</v>
      </c>
      <c r="B61">
        <v>0.25</v>
      </c>
      <c r="C61">
        <v>0.5</v>
      </c>
      <c r="D61">
        <v>0.3</v>
      </c>
      <c r="E61" s="44">
        <v>0.24</v>
      </c>
      <c r="F61">
        <v>0.12</v>
      </c>
      <c r="G61" s="44">
        <v>0.12</v>
      </c>
      <c r="I61" s="14" t="s">
        <v>156</v>
      </c>
      <c r="J61" s="8"/>
    </row>
    <row r="62" spans="1:20" x14ac:dyDescent="0.25">
      <c r="A62" s="14" t="s">
        <v>152</v>
      </c>
      <c r="B62" s="1">
        <f>B31*B60/B14</f>
        <v>594420766683.90479</v>
      </c>
      <c r="C62" s="1">
        <f t="shared" ref="C62:F62" si="77">C31*C60/C14</f>
        <v>1783262300051.7146</v>
      </c>
      <c r="D62" s="1">
        <f>D31*D60/D14</f>
        <v>4160945366787.334</v>
      </c>
      <c r="E62" s="47">
        <f t="shared" ref="E62" si="78">E31*E60/E14</f>
        <v>16643781467149.336</v>
      </c>
      <c r="F62" s="1">
        <f t="shared" si="77"/>
        <v>16643781467149.336</v>
      </c>
      <c r="G62" s="47">
        <f t="shared" ref="G62" si="79">G31*G60/G14</f>
        <v>20804726833936.668</v>
      </c>
      <c r="I62" s="14" t="s">
        <v>186</v>
      </c>
      <c r="J62" s="8"/>
    </row>
    <row r="63" spans="1:20" x14ac:dyDescent="0.25">
      <c r="A63" s="14" t="s">
        <v>163</v>
      </c>
      <c r="B63" s="1">
        <f>B61*B62</f>
        <v>148605191670.9762</v>
      </c>
      <c r="C63" s="1">
        <f t="shared" ref="C63:F63" si="80">C61*C62</f>
        <v>891631150025.8573</v>
      </c>
      <c r="D63" s="1">
        <f>D61*D62</f>
        <v>1248283610036.2002</v>
      </c>
      <c r="E63" s="47">
        <f t="shared" ref="E63" si="81">E61*E62</f>
        <v>3994507552115.8403</v>
      </c>
      <c r="F63" s="1">
        <f t="shared" si="80"/>
        <v>1997253776057.9202</v>
      </c>
      <c r="G63" s="47">
        <f t="shared" ref="G63" si="82">G61*G62</f>
        <v>2496567220072.3999</v>
      </c>
      <c r="I63" s="14" t="s">
        <v>164</v>
      </c>
      <c r="J63" s="8"/>
    </row>
    <row r="64" spans="1:20" x14ac:dyDescent="0.25">
      <c r="A64" s="67" t="s">
        <v>197</v>
      </c>
      <c r="B64" s="47">
        <f>B63*B14*20000000</f>
        <v>2.0804726833936669E+20</v>
      </c>
      <c r="C64" s="47">
        <f t="shared" ref="C64:G64" si="83">C63*C14*20000000</f>
        <v>1.2482836100362003E+21</v>
      </c>
      <c r="D64" s="47">
        <f t="shared" si="83"/>
        <v>7.4897016602172011E+20</v>
      </c>
      <c r="E64" s="47">
        <f t="shared" si="83"/>
        <v>1.198352265634752E+21</v>
      </c>
      <c r="F64" s="47">
        <f t="shared" si="83"/>
        <v>5.9917613281737599E+20</v>
      </c>
      <c r="G64" s="47">
        <f t="shared" si="83"/>
        <v>5.9917613281737599E+20</v>
      </c>
      <c r="H64" s="44"/>
      <c r="I64" s="67" t="s">
        <v>198</v>
      </c>
      <c r="J64" s="70"/>
      <c r="K64" s="44"/>
    </row>
    <row r="65" spans="1:18" x14ac:dyDescent="0.25">
      <c r="A65" s="14" t="s">
        <v>168</v>
      </c>
      <c r="B65" s="1">
        <f>B63*B56</f>
        <v>58692806794.419167</v>
      </c>
      <c r="C65" s="1">
        <f t="shared" ref="C65" si="84">C63*C56</f>
        <v>352156840766.51508</v>
      </c>
      <c r="D65" s="1"/>
      <c r="E65" s="47"/>
      <c r="F65" s="1"/>
      <c r="G65" s="47"/>
      <c r="I65" s="14" t="s">
        <v>165</v>
      </c>
      <c r="J65" s="8"/>
    </row>
    <row r="66" spans="1:18" x14ac:dyDescent="0.25">
      <c r="A66" s="14" t="s">
        <v>169</v>
      </c>
      <c r="B66" s="1">
        <f>B65*B14</f>
        <v>4108496475609.3418</v>
      </c>
      <c r="C66" s="1">
        <f t="shared" ref="C66" si="85">C65*C14</f>
        <v>24650978853656.055</v>
      </c>
      <c r="D66" s="1"/>
      <c r="E66" s="44"/>
      <c r="G66" s="44"/>
      <c r="I66" s="14" t="s">
        <v>166</v>
      </c>
      <c r="J66" s="8"/>
    </row>
    <row r="67" spans="1:18" x14ac:dyDescent="0.25">
      <c r="A67" s="64" t="s">
        <v>170</v>
      </c>
      <c r="B67" s="65">
        <f>20000000*B66</f>
        <v>8.2169929512186839E+19</v>
      </c>
      <c r="C67" s="65">
        <f t="shared" ref="C67" si="86">20000000*C66</f>
        <v>4.930195770731211E+20</v>
      </c>
      <c r="D67" s="68"/>
      <c r="E67" s="69"/>
      <c r="F67" s="69"/>
      <c r="G67" s="69"/>
      <c r="H67" s="69"/>
      <c r="I67" s="64" t="s">
        <v>167</v>
      </c>
      <c r="J67" s="66"/>
    </row>
    <row r="68" spans="1:18" x14ac:dyDescent="0.25">
      <c r="A68" s="14" t="s">
        <v>171</v>
      </c>
      <c r="D68" s="44">
        <v>3.3</v>
      </c>
      <c r="E68" s="44">
        <v>1.7</v>
      </c>
      <c r="F68" s="22">
        <v>1</v>
      </c>
      <c r="G68" s="44">
        <v>0.5</v>
      </c>
      <c r="H68" t="s">
        <v>173</v>
      </c>
      <c r="I68" s="14" t="s">
        <v>174</v>
      </c>
      <c r="J68" s="8"/>
      <c r="R68" s="44"/>
    </row>
    <row r="69" spans="1:18" x14ac:dyDescent="0.25">
      <c r="A69" s="14" t="s">
        <v>172</v>
      </c>
      <c r="D69">
        <v>0.8</v>
      </c>
      <c r="E69" s="44">
        <v>0.4</v>
      </c>
      <c r="F69">
        <v>0.82</v>
      </c>
      <c r="G69" s="44">
        <v>0.82</v>
      </c>
      <c r="I69" s="14" t="s">
        <v>175</v>
      </c>
      <c r="J69" s="8"/>
    </row>
    <row r="70" spans="1:18" x14ac:dyDescent="0.25">
      <c r="A70" s="14" t="s">
        <v>177</v>
      </c>
      <c r="D70" s="47">
        <v>4.0000000000000002E-4</v>
      </c>
      <c r="E70" s="47">
        <v>2.0000000000000001E-4</v>
      </c>
      <c r="F70" s="1">
        <v>2.5000000000000001E-5</v>
      </c>
      <c r="G70" s="47">
        <v>2.5000000000000001E-5</v>
      </c>
      <c r="H70" t="s">
        <v>136</v>
      </c>
      <c r="I70" s="14" t="s">
        <v>176</v>
      </c>
      <c r="J70" s="8"/>
      <c r="M70" s="44"/>
    </row>
    <row r="71" spans="1:18" x14ac:dyDescent="0.25">
      <c r="A71" s="14" t="s">
        <v>178</v>
      </c>
      <c r="C71" s="1"/>
      <c r="D71" s="1">
        <f>P53*D57*D63^2*D69/(4*pi*D70*100*D68)</f>
        <v>4.4854683689614422E+32</v>
      </c>
      <c r="E71" s="47">
        <f>Q53*E57*E63^2*E69/(4*pi*E70*100*E68)</f>
        <v>8.9160557131732362E+33</v>
      </c>
      <c r="F71" s="1">
        <f>R53*F57*F63^2*F69/(4*pi*F70*100*F68)</f>
        <v>8.8642531100298698E+34</v>
      </c>
      <c r="G71" s="47">
        <f>S53*G57*G63^2*G69/(4*pi*G70*100*G68)</f>
        <v>3.1475955055750757E+35</v>
      </c>
      <c r="H71" t="s">
        <v>180</v>
      </c>
      <c r="I71" s="14" t="s">
        <v>179</v>
      </c>
      <c r="J71" s="8"/>
    </row>
    <row r="72" spans="1:18" s="66" customFormat="1" x14ac:dyDescent="0.25">
      <c r="A72" s="64" t="s">
        <v>181</v>
      </c>
      <c r="C72" s="65"/>
      <c r="D72" s="65">
        <f>D71*P52*taumu*D14/2</f>
        <v>8.8407203282566896E+30</v>
      </c>
      <c r="E72" s="65">
        <f>E71*Q52*taumu*E14/2</f>
        <v>8.7866359215426459E+31</v>
      </c>
      <c r="F72" s="65">
        <f>F71*R52*taumu*F14/2</f>
        <v>1.0383556928422722E+34</v>
      </c>
      <c r="G72" s="65">
        <f>G71*S52*taumu*G14/2</f>
        <v>5.898917348096003E+34</v>
      </c>
      <c r="H72" s="66" t="s">
        <v>180</v>
      </c>
      <c r="I72" s="64" t="s">
        <v>182</v>
      </c>
    </row>
    <row r="73" spans="1:18" x14ac:dyDescent="0.25">
      <c r="A73" s="14" t="s">
        <v>184</v>
      </c>
      <c r="C73" s="1"/>
      <c r="D73" s="1">
        <f>rmu*D63/(4*pi*D70)</f>
        <v>3.3851519156803994E-3</v>
      </c>
      <c r="E73" s="47">
        <f>rmu*E63/(4*pi*E70)</f>
        <v>2.1664972260354552E-2</v>
      </c>
      <c r="F73" s="1">
        <f>rmu*F63/(4*pi*F70)</f>
        <v>8.6659889041418206E-2</v>
      </c>
      <c r="G73" s="47">
        <f>rmu*G63/(4*pi*G70)</f>
        <v>0.10832486130177275</v>
      </c>
      <c r="I73" s="14" t="s">
        <v>185</v>
      </c>
      <c r="J73" s="8"/>
    </row>
    <row r="74" spans="1:18" x14ac:dyDescent="0.25">
      <c r="A74" s="8"/>
      <c r="I74" s="8"/>
      <c r="J74" s="8"/>
    </row>
    <row r="75" spans="1:18" x14ac:dyDescent="0.25">
      <c r="A75" s="61" t="s">
        <v>193</v>
      </c>
      <c r="B75" s="62">
        <f>94000000000000000000</f>
        <v>9.4E+19</v>
      </c>
      <c r="C75" s="62">
        <f>560000000000000000000</f>
        <v>5.6E+20</v>
      </c>
      <c r="D75" s="62">
        <v>1.6999999999999999E+31</v>
      </c>
      <c r="E75" s="62">
        <v>7.9999999999999997E+31</v>
      </c>
      <c r="F75" s="62">
        <v>1.25E+34</v>
      </c>
      <c r="G75" s="62">
        <v>4.4000000000000005E+34</v>
      </c>
      <c r="I75" s="8"/>
      <c r="J75" s="8"/>
    </row>
    <row r="76" spans="1:18" x14ac:dyDescent="0.25">
      <c r="A76" s="61" t="s">
        <v>194</v>
      </c>
      <c r="B76" s="62">
        <f>B67/B75</f>
        <v>0.87414818629986002</v>
      </c>
      <c r="C76" s="62">
        <f>C67/C75</f>
        <v>0.88039210191628769</v>
      </c>
      <c r="D76" s="62">
        <f>D72/D75</f>
        <v>0.52004237225039351</v>
      </c>
      <c r="E76" s="62">
        <f t="shared" ref="E76:G76" si="87">E72/E75</f>
        <v>1.0983294901928309</v>
      </c>
      <c r="F76" s="62">
        <f t="shared" si="87"/>
        <v>0.83068455427381771</v>
      </c>
      <c r="G76" s="62">
        <f t="shared" si="87"/>
        <v>1.3406630336581824</v>
      </c>
      <c r="I76" s="8"/>
      <c r="J76" s="8"/>
    </row>
  </sheetData>
  <mergeCells count="1">
    <mergeCell ref="C3:E3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opLeftCell="A26" workbookViewId="0">
      <selection activeCell="N17" sqref="N17:W23"/>
    </sheetView>
  </sheetViews>
  <sheetFormatPr defaultRowHeight="15" x14ac:dyDescent="0.25"/>
  <cols>
    <col min="2" max="2" width="13.140625" customWidth="1"/>
    <col min="3" max="6" width="12" customWidth="1"/>
    <col min="8" max="8" width="9.28515625" bestFit="1" customWidth="1"/>
    <col min="16" max="16" width="10" customWidth="1"/>
    <col min="17" max="17" width="10.140625" customWidth="1"/>
    <col min="18" max="18" width="9.7109375" customWidth="1"/>
    <col min="20" max="20" width="9.140625" customWidth="1"/>
  </cols>
  <sheetData>
    <row r="1" spans="1:17" ht="18.75" x14ac:dyDescent="0.3">
      <c r="A1" s="36" t="s">
        <v>187</v>
      </c>
      <c r="I1" s="33" t="s">
        <v>104</v>
      </c>
      <c r="J1" s="33"/>
      <c r="K1" s="33"/>
      <c r="L1" s="33"/>
      <c r="M1" s="38"/>
      <c r="N1" s="17" t="s">
        <v>1</v>
      </c>
    </row>
    <row r="2" spans="1:17" ht="15" customHeight="1" x14ac:dyDescent="0.25">
      <c r="A2" s="18" t="s">
        <v>0</v>
      </c>
      <c r="B2" s="19">
        <v>41351</v>
      </c>
      <c r="C2" s="19"/>
      <c r="D2" s="35" t="s">
        <v>125</v>
      </c>
      <c r="E2" s="19"/>
      <c r="F2" s="19"/>
      <c r="G2" s="18"/>
      <c r="H2" s="18"/>
      <c r="I2" s="33" t="s">
        <v>124</v>
      </c>
      <c r="J2" s="33"/>
      <c r="K2" s="33"/>
      <c r="L2" s="33"/>
      <c r="M2" s="39"/>
      <c r="N2" s="18" t="s">
        <v>9</v>
      </c>
      <c r="O2" s="18">
        <v>3.1415926535900001</v>
      </c>
      <c r="P2" s="18"/>
      <c r="Q2" s="27" t="s">
        <v>92</v>
      </c>
    </row>
    <row r="3" spans="1:17" ht="15" customHeight="1" x14ac:dyDescent="0.7">
      <c r="A3" s="17" t="s">
        <v>85</v>
      </c>
      <c r="B3" s="71" t="s">
        <v>86</v>
      </c>
      <c r="C3" s="71"/>
      <c r="D3" s="71" t="s">
        <v>55</v>
      </c>
      <c r="E3" s="71"/>
      <c r="F3" s="71"/>
      <c r="G3" s="72" t="s">
        <v>10</v>
      </c>
      <c r="H3" s="72"/>
      <c r="I3" s="34" t="s">
        <v>105</v>
      </c>
      <c r="J3" s="33"/>
      <c r="K3" s="33"/>
      <c r="L3" s="33"/>
      <c r="M3" s="40"/>
      <c r="N3" s="18" t="s">
        <v>2</v>
      </c>
      <c r="O3" s="28">
        <v>1.6022000000000001E-19</v>
      </c>
      <c r="P3" s="23" t="s">
        <v>10</v>
      </c>
      <c r="Q3" s="18" t="s">
        <v>87</v>
      </c>
    </row>
    <row r="4" spans="1:17" ht="15" customHeight="1" x14ac:dyDescent="0.7">
      <c r="A4" s="20" t="s">
        <v>79</v>
      </c>
      <c r="B4" s="21" t="s">
        <v>80</v>
      </c>
      <c r="C4" s="21" t="s">
        <v>81</v>
      </c>
      <c r="D4" s="21" t="s">
        <v>80</v>
      </c>
      <c r="E4" s="21" t="s">
        <v>81</v>
      </c>
      <c r="F4" s="21" t="s">
        <v>81</v>
      </c>
      <c r="G4" s="21" t="s">
        <v>80</v>
      </c>
      <c r="H4" s="21" t="s">
        <v>81</v>
      </c>
      <c r="I4" s="21" t="s">
        <v>118</v>
      </c>
      <c r="M4" s="16"/>
      <c r="N4" s="18" t="s">
        <v>3</v>
      </c>
      <c r="O4" s="28">
        <v>299800000</v>
      </c>
      <c r="P4" s="23" t="s">
        <v>7</v>
      </c>
      <c r="Q4" s="18" t="s">
        <v>88</v>
      </c>
    </row>
    <row r="5" spans="1:17" x14ac:dyDescent="0.25">
      <c r="A5" s="2" t="s">
        <v>36</v>
      </c>
      <c r="B5" s="25">
        <v>3</v>
      </c>
      <c r="C5" s="25">
        <v>3</v>
      </c>
      <c r="D5" s="25">
        <v>3</v>
      </c>
      <c r="E5" s="25">
        <v>3</v>
      </c>
      <c r="F5" s="25">
        <v>3</v>
      </c>
      <c r="G5" s="25">
        <v>8</v>
      </c>
      <c r="H5" s="25">
        <v>8</v>
      </c>
      <c r="I5" s="22" t="s">
        <v>63</v>
      </c>
      <c r="J5" s="22" t="s">
        <v>66</v>
      </c>
      <c r="M5" s="15"/>
      <c r="N5" t="s">
        <v>4</v>
      </c>
      <c r="O5">
        <v>0.93827199999999999</v>
      </c>
      <c r="P5" s="12" t="s">
        <v>63</v>
      </c>
      <c r="Q5" t="s">
        <v>67</v>
      </c>
    </row>
    <row r="6" spans="1:17" x14ac:dyDescent="0.25">
      <c r="A6" t="s">
        <v>93</v>
      </c>
      <c r="B6" s="26">
        <v>1</v>
      </c>
      <c r="C6" s="26">
        <v>1</v>
      </c>
      <c r="D6" s="26">
        <v>3</v>
      </c>
      <c r="E6" s="26">
        <v>3</v>
      </c>
      <c r="F6" s="26">
        <v>3</v>
      </c>
      <c r="G6" s="26">
        <v>4</v>
      </c>
      <c r="H6" s="26">
        <v>4</v>
      </c>
      <c r="I6" t="s">
        <v>95</v>
      </c>
      <c r="J6" t="s">
        <v>94</v>
      </c>
      <c r="N6" t="s">
        <v>5</v>
      </c>
      <c r="O6">
        <v>0.13957</v>
      </c>
      <c r="P6" s="12" t="s">
        <v>63</v>
      </c>
      <c r="Q6" t="s">
        <v>89</v>
      </c>
    </row>
    <row r="7" spans="1:17" x14ac:dyDescent="0.25">
      <c r="A7" t="s">
        <v>96</v>
      </c>
      <c r="B7" s="29">
        <v>70</v>
      </c>
      <c r="C7" s="29">
        <v>30</v>
      </c>
      <c r="D7" s="29">
        <v>70</v>
      </c>
      <c r="E7" s="29">
        <v>30</v>
      </c>
      <c r="F7" s="29">
        <v>30</v>
      </c>
      <c r="G7" s="29">
        <v>15</v>
      </c>
      <c r="H7" s="15">
        <v>15</v>
      </c>
      <c r="I7" t="s">
        <v>17</v>
      </c>
      <c r="J7" t="s">
        <v>97</v>
      </c>
      <c r="M7" s="10"/>
      <c r="N7" t="s">
        <v>6</v>
      </c>
      <c r="O7">
        <v>0.105658</v>
      </c>
      <c r="P7" s="12" t="s">
        <v>63</v>
      </c>
      <c r="Q7" t="s">
        <v>90</v>
      </c>
    </row>
    <row r="8" spans="1:17" x14ac:dyDescent="0.25">
      <c r="A8" t="s">
        <v>98</v>
      </c>
      <c r="B8" s="15">
        <v>2</v>
      </c>
      <c r="C8" s="15">
        <v>4</v>
      </c>
      <c r="D8" s="15">
        <v>4</v>
      </c>
      <c r="E8" s="15">
        <v>4</v>
      </c>
      <c r="F8" s="15">
        <v>4</v>
      </c>
      <c r="G8" s="15">
        <v>4</v>
      </c>
      <c r="H8" s="15">
        <v>4</v>
      </c>
      <c r="J8" t="s">
        <v>119</v>
      </c>
      <c r="M8" s="10"/>
      <c r="N8" t="s">
        <v>8</v>
      </c>
      <c r="O8">
        <v>5.1099999999999995E-4</v>
      </c>
      <c r="P8" s="12" t="s">
        <v>63</v>
      </c>
      <c r="Q8" t="s">
        <v>91</v>
      </c>
    </row>
    <row r="9" spans="1:17" x14ac:dyDescent="0.25">
      <c r="A9" t="s">
        <v>103</v>
      </c>
      <c r="B9" s="24">
        <v>2</v>
      </c>
      <c r="C9" s="24">
        <v>4</v>
      </c>
      <c r="D9" s="24">
        <v>4</v>
      </c>
      <c r="E9" s="24">
        <v>4</v>
      </c>
      <c r="F9" s="24">
        <v>4</v>
      </c>
      <c r="G9" s="24">
        <v>1</v>
      </c>
      <c r="H9" s="24">
        <v>1</v>
      </c>
      <c r="J9" t="s">
        <v>99</v>
      </c>
      <c r="N9" s="2" t="s">
        <v>35</v>
      </c>
      <c r="O9" s="3">
        <v>1.5349999999999999E-18</v>
      </c>
      <c r="P9" s="13" t="s">
        <v>31</v>
      </c>
      <c r="Q9" s="5" t="s">
        <v>76</v>
      </c>
    </row>
    <row r="10" spans="1:17" x14ac:dyDescent="0.25">
      <c r="A10" t="s">
        <v>116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1</v>
      </c>
      <c r="H10" s="15">
        <v>1</v>
      </c>
      <c r="J10" t="s">
        <v>101</v>
      </c>
      <c r="N10" t="s">
        <v>83</v>
      </c>
      <c r="O10" s="1">
        <f>O9*O5/O7</f>
        <v>1.3631220731037877E-17</v>
      </c>
      <c r="Q10" t="s">
        <v>84</v>
      </c>
    </row>
    <row r="11" spans="1:17" x14ac:dyDescent="0.25">
      <c r="A11" t="s">
        <v>100</v>
      </c>
      <c r="B11" s="15">
        <v>1</v>
      </c>
      <c r="C11" s="15">
        <v>1</v>
      </c>
      <c r="D11" s="15">
        <v>1</v>
      </c>
      <c r="E11" s="15">
        <v>1</v>
      </c>
      <c r="F11" s="15">
        <v>1</v>
      </c>
      <c r="G11" s="15">
        <v>1</v>
      </c>
      <c r="H11" s="15">
        <v>4</v>
      </c>
      <c r="J11" t="s">
        <v>102</v>
      </c>
      <c r="N11" t="s">
        <v>71</v>
      </c>
      <c r="O11" s="1">
        <v>2.2000000000000001E-6</v>
      </c>
      <c r="P11" s="12" t="s">
        <v>14</v>
      </c>
      <c r="Q11" t="s">
        <v>72</v>
      </c>
    </row>
    <row r="12" spans="1:17" x14ac:dyDescent="0.25">
      <c r="A12" t="s">
        <v>159</v>
      </c>
      <c r="B12" s="15">
        <v>1</v>
      </c>
      <c r="C12" s="15">
        <v>1</v>
      </c>
      <c r="D12" s="15">
        <v>1</v>
      </c>
      <c r="E12" s="15">
        <v>1</v>
      </c>
      <c r="F12" s="15">
        <v>1</v>
      </c>
      <c r="G12" s="15">
        <v>4</v>
      </c>
      <c r="H12" s="15">
        <v>1</v>
      </c>
      <c r="J12" t="s">
        <v>160</v>
      </c>
      <c r="O12" s="1"/>
      <c r="P12" s="12"/>
    </row>
    <row r="13" spans="1:17" x14ac:dyDescent="0.25">
      <c r="A13" t="s">
        <v>157</v>
      </c>
      <c r="B13" s="15">
        <v>2</v>
      </c>
      <c r="C13" s="15">
        <v>4</v>
      </c>
      <c r="D13" s="15">
        <v>4</v>
      </c>
      <c r="E13" s="15">
        <v>4</v>
      </c>
      <c r="F13" s="15">
        <v>4</v>
      </c>
      <c r="G13" s="15">
        <v>1</v>
      </c>
      <c r="H13" s="15">
        <v>4</v>
      </c>
      <c r="J13" t="s">
        <v>158</v>
      </c>
      <c r="O13" s="1"/>
      <c r="P13" s="12"/>
    </row>
    <row r="14" spans="1:17" x14ac:dyDescent="0.25">
      <c r="A14" t="s">
        <v>161</v>
      </c>
      <c r="B14" s="15">
        <f>B7*B8/B13</f>
        <v>70</v>
      </c>
      <c r="C14" s="15">
        <f t="shared" ref="C14:H14" si="0">C7*C8/C13</f>
        <v>30</v>
      </c>
      <c r="D14" s="15">
        <f t="shared" si="0"/>
        <v>70</v>
      </c>
      <c r="E14" s="15">
        <f t="shared" si="0"/>
        <v>30</v>
      </c>
      <c r="F14" s="15">
        <f t="shared" ref="F14" si="1">F7*F8/F13</f>
        <v>30</v>
      </c>
      <c r="G14" s="15">
        <f t="shared" si="0"/>
        <v>60</v>
      </c>
      <c r="H14" s="15">
        <f t="shared" si="0"/>
        <v>15</v>
      </c>
      <c r="J14" t="s">
        <v>162</v>
      </c>
      <c r="O14" s="1"/>
      <c r="P14" s="12"/>
    </row>
    <row r="15" spans="1:17" x14ac:dyDescent="0.25">
      <c r="A15" s="5" t="s">
        <v>127</v>
      </c>
      <c r="B15" s="3"/>
      <c r="C15" s="13"/>
      <c r="D15" s="13"/>
      <c r="E15" s="13"/>
      <c r="F15" s="13"/>
      <c r="G15" s="5"/>
      <c r="I15" s="2"/>
      <c r="J15" s="2"/>
    </row>
    <row r="16" spans="1:17" x14ac:dyDescent="0.25">
      <c r="A16" s="8" t="s">
        <v>30</v>
      </c>
      <c r="M16" s="10"/>
      <c r="N16" s="8" t="s">
        <v>34</v>
      </c>
    </row>
    <row r="17" spans="1:23" x14ac:dyDescent="0.25">
      <c r="A17" t="s">
        <v>13</v>
      </c>
      <c r="B17">
        <v>2.5</v>
      </c>
      <c r="C17">
        <v>2.5</v>
      </c>
      <c r="D17">
        <v>2</v>
      </c>
      <c r="E17">
        <v>2</v>
      </c>
      <c r="F17">
        <v>2</v>
      </c>
      <c r="G17">
        <v>2</v>
      </c>
      <c r="H17">
        <v>2</v>
      </c>
      <c r="I17" t="s">
        <v>12</v>
      </c>
      <c r="J17" t="s">
        <v>73</v>
      </c>
      <c r="M17" s="10"/>
      <c r="N17" s="2" t="s">
        <v>37</v>
      </c>
      <c r="O17" s="4">
        <f>B5+mp</f>
        <v>3.938272</v>
      </c>
      <c r="P17" s="4">
        <f>C5+mp</f>
        <v>3.938272</v>
      </c>
      <c r="Q17" s="4">
        <f>D5+mp</f>
        <v>3.938272</v>
      </c>
      <c r="R17" s="4">
        <f>E5+mp</f>
        <v>3.938272</v>
      </c>
      <c r="S17" s="4">
        <f>F5+mp</f>
        <v>3.938272</v>
      </c>
      <c r="T17" s="4">
        <f t="shared" ref="T17:U17" si="2">G5+mp</f>
        <v>8.9382719999999996</v>
      </c>
      <c r="U17" s="4">
        <f t="shared" si="2"/>
        <v>8.9382719999999996</v>
      </c>
      <c r="V17" t="s">
        <v>63</v>
      </c>
      <c r="W17" t="s">
        <v>68</v>
      </c>
    </row>
    <row r="18" spans="1:23" x14ac:dyDescent="0.25">
      <c r="A18" t="s">
        <v>11</v>
      </c>
      <c r="B18" s="1">
        <v>3E-9</v>
      </c>
      <c r="C18" s="1">
        <v>3E-9</v>
      </c>
      <c r="D18" s="1">
        <v>3E-9</v>
      </c>
      <c r="E18" s="1">
        <v>3E-9</v>
      </c>
      <c r="F18" s="1">
        <v>3E-9</v>
      </c>
      <c r="G18" s="1">
        <v>3E-9</v>
      </c>
      <c r="H18" s="1">
        <v>3E-9</v>
      </c>
      <c r="I18" t="s">
        <v>14</v>
      </c>
      <c r="J18" t="s">
        <v>16</v>
      </c>
      <c r="M18" s="8"/>
      <c r="N18" s="2" t="s">
        <v>38</v>
      </c>
      <c r="O18" s="4">
        <f t="shared" ref="O18:U18" si="3">SQRT(O17^2-mp^2)</f>
        <v>3.8248701938758654</v>
      </c>
      <c r="P18" s="4">
        <f t="shared" si="3"/>
        <v>3.8248701938758654</v>
      </c>
      <c r="Q18" s="4">
        <f t="shared" si="3"/>
        <v>3.8248701938758654</v>
      </c>
      <c r="R18" s="4">
        <f t="shared" si="3"/>
        <v>3.8248701938758654</v>
      </c>
      <c r="S18" s="4">
        <f t="shared" ref="S18" si="4">SQRT(S17^2-mp^2)</f>
        <v>3.8248701938758654</v>
      </c>
      <c r="T18" s="4">
        <f t="shared" si="3"/>
        <v>8.888889244444437</v>
      </c>
      <c r="U18" s="4">
        <f t="shared" si="3"/>
        <v>8.888889244444437</v>
      </c>
      <c r="V18" t="s">
        <v>70</v>
      </c>
      <c r="W18" t="s">
        <v>69</v>
      </c>
    </row>
    <row r="19" spans="1:23" s="18" customFormat="1" ht="15" customHeight="1" x14ac:dyDescent="0.25">
      <c r="A19" s="18" t="s">
        <v>15</v>
      </c>
      <c r="B19" s="18">
        <f>B7*B8/B13</f>
        <v>70</v>
      </c>
      <c r="C19" s="18">
        <f t="shared" ref="C19:H19" si="5">C7*C8/C13</f>
        <v>30</v>
      </c>
      <c r="D19" s="18">
        <f t="shared" si="5"/>
        <v>70</v>
      </c>
      <c r="E19" s="18">
        <f t="shared" si="5"/>
        <v>30</v>
      </c>
      <c r="F19" s="18">
        <f t="shared" si="5"/>
        <v>30</v>
      </c>
      <c r="G19" s="18">
        <f t="shared" si="5"/>
        <v>60</v>
      </c>
      <c r="H19" s="18">
        <f t="shared" si="5"/>
        <v>15</v>
      </c>
      <c r="I19" s="18" t="s">
        <v>17</v>
      </c>
      <c r="J19" s="18" t="s">
        <v>82</v>
      </c>
      <c r="M19" s="30"/>
      <c r="N19" s="31" t="s">
        <v>25</v>
      </c>
      <c r="O19" s="32">
        <f>O18/O17</f>
        <v>0.97120518691341418</v>
      </c>
      <c r="P19" s="32">
        <f t="shared" ref="P19:R19" si="6">P18/P17</f>
        <v>0.97120518691341418</v>
      </c>
      <c r="Q19" s="32">
        <f t="shared" si="6"/>
        <v>0.97120518691341418</v>
      </c>
      <c r="R19" s="32">
        <f t="shared" si="6"/>
        <v>0.97120518691341418</v>
      </c>
      <c r="S19" s="32">
        <f t="shared" ref="S19" si="7">S18/S17</f>
        <v>0.97120518691341418</v>
      </c>
      <c r="T19" s="32">
        <f>T18/T17</f>
        <v>0.99447513394584963</v>
      </c>
      <c r="U19" s="32">
        <f>U18/U17</f>
        <v>0.99447513394584963</v>
      </c>
    </row>
    <row r="20" spans="1:23" s="18" customFormat="1" ht="15" customHeight="1" x14ac:dyDescent="0.25">
      <c r="A20" s="18" t="s">
        <v>18</v>
      </c>
      <c r="B20" s="18">
        <v>10</v>
      </c>
      <c r="C20" s="18">
        <v>10</v>
      </c>
      <c r="D20" s="18">
        <v>10</v>
      </c>
      <c r="E20" s="18">
        <v>10</v>
      </c>
      <c r="F20" s="18">
        <v>10</v>
      </c>
      <c r="G20" s="18">
        <v>10</v>
      </c>
      <c r="H20" s="18">
        <v>10</v>
      </c>
      <c r="I20" s="18" t="s">
        <v>12</v>
      </c>
      <c r="J20" s="18" t="s">
        <v>19</v>
      </c>
      <c r="M20" s="30"/>
      <c r="N20" s="31" t="s">
        <v>39</v>
      </c>
      <c r="O20" s="32">
        <f t="shared" ref="O20:U20" si="8">O17/mp</f>
        <v>4.1973670747928109</v>
      </c>
      <c r="P20" s="32">
        <f t="shared" si="8"/>
        <v>4.1973670747928109</v>
      </c>
      <c r="Q20" s="32">
        <f t="shared" si="8"/>
        <v>4.1973670747928109</v>
      </c>
      <c r="R20" s="32">
        <f t="shared" si="8"/>
        <v>4.1973670747928109</v>
      </c>
      <c r="S20" s="32">
        <f t="shared" ref="S20" si="9">S17/mp</f>
        <v>4.1973670747928109</v>
      </c>
      <c r="T20" s="32">
        <f t="shared" si="8"/>
        <v>9.526312199447494</v>
      </c>
      <c r="U20" s="32">
        <f t="shared" si="8"/>
        <v>9.526312199447494</v>
      </c>
    </row>
    <row r="21" spans="1:23" s="18" customFormat="1" ht="15" customHeight="1" x14ac:dyDescent="0.25">
      <c r="A21" s="18" t="s">
        <v>20</v>
      </c>
      <c r="B21" s="18">
        <v>30</v>
      </c>
      <c r="C21" s="18">
        <v>30</v>
      </c>
      <c r="D21" s="18">
        <v>30</v>
      </c>
      <c r="E21" s="18">
        <v>30</v>
      </c>
      <c r="F21" s="18">
        <v>30</v>
      </c>
      <c r="G21" s="18">
        <v>30</v>
      </c>
      <c r="H21" s="18">
        <v>30</v>
      </c>
      <c r="I21" s="18" t="s">
        <v>21</v>
      </c>
      <c r="J21" s="18" t="s">
        <v>22</v>
      </c>
      <c r="M21" s="30"/>
      <c r="N21" s="31" t="s">
        <v>40</v>
      </c>
      <c r="O21" s="32">
        <f t="shared" ref="O21" si="10">O19*O20</f>
        <v>4.0765046744183628</v>
      </c>
      <c r="P21" s="32">
        <f t="shared" ref="P21:R21" si="11">P19*P20</f>
        <v>4.0765046744183628</v>
      </c>
      <c r="Q21" s="32">
        <f t="shared" si="11"/>
        <v>4.0765046744183628</v>
      </c>
      <c r="R21" s="32">
        <f t="shared" si="11"/>
        <v>4.0765046744183628</v>
      </c>
      <c r="S21" s="32">
        <f t="shared" ref="S21" si="12">S19*S20</f>
        <v>4.0765046744183628</v>
      </c>
      <c r="T21" s="32">
        <f t="shared" ref="T21:U21" si="13">T19*T20</f>
        <v>9.4736806005555287</v>
      </c>
      <c r="U21" s="32">
        <f t="shared" si="13"/>
        <v>9.4736806005555287</v>
      </c>
    </row>
    <row r="22" spans="1:23" x14ac:dyDescent="0.25">
      <c r="A22" t="s">
        <v>23</v>
      </c>
      <c r="B22" s="10">
        <f>1/3</f>
        <v>0.33333333333333331</v>
      </c>
      <c r="C22" s="10">
        <f>1/3</f>
        <v>0.33333333333333331</v>
      </c>
      <c r="D22" s="10">
        <f>1/3</f>
        <v>0.33333333333333331</v>
      </c>
      <c r="E22" s="10">
        <f>1/3</f>
        <v>0.33333333333333331</v>
      </c>
      <c r="F22" s="10">
        <f>1/3</f>
        <v>0.33333333333333331</v>
      </c>
      <c r="G22" s="10">
        <f t="shared" ref="G22:H22" si="14">1/3</f>
        <v>0.33333333333333331</v>
      </c>
      <c r="H22" s="10">
        <f t="shared" si="14"/>
        <v>0.33333333333333331</v>
      </c>
      <c r="I22" t="s">
        <v>31</v>
      </c>
      <c r="J22" t="s">
        <v>24</v>
      </c>
      <c r="N22" s="2" t="s">
        <v>41</v>
      </c>
      <c r="O22" s="9">
        <f t="shared" ref="O22" si="15">O20*O21</f>
        <v>17.110586500642622</v>
      </c>
      <c r="P22" s="9">
        <f t="shared" ref="P22:R22" si="16">P20*P21</f>
        <v>17.110586500642622</v>
      </c>
      <c r="Q22" s="9">
        <f t="shared" si="16"/>
        <v>17.110586500642622</v>
      </c>
      <c r="R22" s="9">
        <f t="shared" si="16"/>
        <v>17.110586500642622</v>
      </c>
      <c r="S22" s="9">
        <f t="shared" ref="S22" si="17">S20*S21</f>
        <v>17.110586500642622</v>
      </c>
      <c r="T22" s="9">
        <f t="shared" ref="T22:U22" si="18">T20*T21</f>
        <v>90.249239078741198</v>
      </c>
      <c r="U22" s="9">
        <f t="shared" si="18"/>
        <v>90.249239078741198</v>
      </c>
    </row>
    <row r="23" spans="1:23" x14ac:dyDescent="0.25">
      <c r="A23" t="s">
        <v>126</v>
      </c>
      <c r="B23" s="10">
        <v>1</v>
      </c>
      <c r="C23" s="10">
        <v>1</v>
      </c>
      <c r="D23" s="10">
        <f>1/3</f>
        <v>0.33333333333333331</v>
      </c>
      <c r="E23" s="10">
        <f>1/3</f>
        <v>0.33333333333333331</v>
      </c>
      <c r="F23" s="10">
        <f>1/3</f>
        <v>0.33333333333333331</v>
      </c>
      <c r="G23" s="10">
        <v>1</v>
      </c>
      <c r="H23" s="10">
        <v>1</v>
      </c>
      <c r="I23" t="s">
        <v>31</v>
      </c>
      <c r="J23" t="s">
        <v>26</v>
      </c>
      <c r="N23" s="2" t="s">
        <v>42</v>
      </c>
      <c r="O23" s="9">
        <f t="shared" ref="O23" si="19">O21*O22</f>
        <v>69.75138585190939</v>
      </c>
      <c r="P23" s="9">
        <f t="shared" ref="P23:R23" si="20">P21*P22</f>
        <v>69.75138585190939</v>
      </c>
      <c r="Q23" s="9">
        <f t="shared" si="20"/>
        <v>69.75138585190939</v>
      </c>
      <c r="R23" s="9">
        <f t="shared" si="20"/>
        <v>69.75138585190939</v>
      </c>
      <c r="S23" s="9">
        <f t="shared" ref="S23" si="21">S21*S22</f>
        <v>69.75138585190939</v>
      </c>
      <c r="T23" s="9">
        <f t="shared" ref="T23:U23" si="22">T21*T22</f>
        <v>854.99246547516839</v>
      </c>
      <c r="U23" s="9">
        <f t="shared" si="22"/>
        <v>854.99246547516839</v>
      </c>
    </row>
    <row r="24" spans="1:23" x14ac:dyDescent="0.25">
      <c r="A24" t="s">
        <v>27</v>
      </c>
      <c r="B24">
        <f>B17^2/B23</f>
        <v>6.25</v>
      </c>
      <c r="C24">
        <f>C17^2/C23</f>
        <v>6.25</v>
      </c>
      <c r="D24">
        <f>D17^2/D23</f>
        <v>12</v>
      </c>
      <c r="E24">
        <f>E17^2/E23</f>
        <v>12</v>
      </c>
      <c r="F24">
        <f>F17^2/F23</f>
        <v>12</v>
      </c>
      <c r="G24">
        <f t="shared" ref="G24:H24" si="23">G17^2/G23</f>
        <v>4</v>
      </c>
      <c r="H24">
        <f t="shared" si="23"/>
        <v>4</v>
      </c>
      <c r="I24" t="s">
        <v>28</v>
      </c>
      <c r="J24" t="s">
        <v>29</v>
      </c>
    </row>
    <row r="25" spans="1:23" x14ac:dyDescent="0.25">
      <c r="A25" t="s">
        <v>32</v>
      </c>
      <c r="B25">
        <f>(B24/B23)^0.5</f>
        <v>2.5</v>
      </c>
      <c r="C25">
        <f>(C24/C23)^0.5</f>
        <v>2.5</v>
      </c>
      <c r="D25">
        <f>(D24/D23)^0.5</f>
        <v>6</v>
      </c>
      <c r="E25">
        <f>(E24/E23)^0.5</f>
        <v>6</v>
      </c>
      <c r="F25">
        <f>(F24/F23)^0.5</f>
        <v>6</v>
      </c>
      <c r="G25">
        <f t="shared" ref="G25:H25" si="24">(G24/G23)^0.5</f>
        <v>2</v>
      </c>
      <c r="H25">
        <f t="shared" si="24"/>
        <v>2</v>
      </c>
      <c r="I25" t="s">
        <v>33</v>
      </c>
      <c r="J25" t="s">
        <v>74</v>
      </c>
    </row>
    <row r="26" spans="1:23" x14ac:dyDescent="0.25">
      <c r="A26" t="s">
        <v>65</v>
      </c>
      <c r="B26" s="10">
        <f t="shared" ref="B26:H26" si="25">6*B24*O21</f>
        <v>152.86892529068859</v>
      </c>
      <c r="C26" s="10">
        <f t="shared" si="25"/>
        <v>152.86892529068859</v>
      </c>
      <c r="D26" s="10">
        <f t="shared" si="25"/>
        <v>293.5083365581221</v>
      </c>
      <c r="E26" s="10">
        <f t="shared" si="25"/>
        <v>293.5083365581221</v>
      </c>
      <c r="F26" s="10">
        <f t="shared" si="25"/>
        <v>293.5083365581221</v>
      </c>
      <c r="G26" s="10">
        <f t="shared" si="25"/>
        <v>227.36833441333269</v>
      </c>
      <c r="H26" s="10">
        <f t="shared" si="25"/>
        <v>227.36833441333269</v>
      </c>
      <c r="I26" t="s">
        <v>28</v>
      </c>
      <c r="J26" t="s">
        <v>106</v>
      </c>
    </row>
    <row r="27" spans="1:23" x14ac:dyDescent="0.25">
      <c r="A27" s="14" t="s">
        <v>43</v>
      </c>
      <c r="M27" s="10"/>
      <c r="N27" s="10"/>
      <c r="O27" s="10"/>
    </row>
    <row r="28" spans="1:23" x14ac:dyDescent="0.25">
      <c r="A28" s="2" t="s">
        <v>44</v>
      </c>
      <c r="B28" s="10">
        <f>B6/B5</f>
        <v>0.33333333333333331</v>
      </c>
      <c r="C28" s="10">
        <f t="shared" ref="C28:H28" si="26">C6/C5</f>
        <v>0.33333333333333331</v>
      </c>
      <c r="D28">
        <f t="shared" si="26"/>
        <v>1</v>
      </c>
      <c r="E28">
        <f t="shared" si="26"/>
        <v>1</v>
      </c>
      <c r="F28">
        <f t="shared" ref="F28" si="27">F6/F5</f>
        <v>1</v>
      </c>
      <c r="G28">
        <f t="shared" si="26"/>
        <v>0.5</v>
      </c>
      <c r="H28">
        <f t="shared" si="26"/>
        <v>0.5</v>
      </c>
      <c r="I28" t="s">
        <v>107</v>
      </c>
      <c r="J28" t="s">
        <v>45</v>
      </c>
      <c r="M28" s="10"/>
      <c r="N28" s="10"/>
      <c r="O28" s="10"/>
    </row>
    <row r="29" spans="1:23" x14ac:dyDescent="0.25">
      <c r="A29" s="2" t="s">
        <v>46</v>
      </c>
      <c r="B29" s="10">
        <f>1/3</f>
        <v>0.33333333333333331</v>
      </c>
      <c r="C29" s="10">
        <f>1/3</f>
        <v>0.33333333333333331</v>
      </c>
      <c r="D29">
        <v>1</v>
      </c>
      <c r="E29">
        <v>1</v>
      </c>
      <c r="F29">
        <v>1</v>
      </c>
      <c r="G29">
        <v>0.1</v>
      </c>
      <c r="H29">
        <v>0.1</v>
      </c>
      <c r="J29" t="s">
        <v>77</v>
      </c>
    </row>
    <row r="30" spans="1:23" x14ac:dyDescent="0.25">
      <c r="A30" s="2" t="s">
        <v>47</v>
      </c>
      <c r="B30" s="10">
        <f t="shared" ref="B30:H30" si="28">B28/B29</f>
        <v>1</v>
      </c>
      <c r="C30" s="10">
        <f t="shared" ref="C30:E30" si="29">C28/C29</f>
        <v>1</v>
      </c>
      <c r="D30" s="10">
        <f t="shared" si="29"/>
        <v>1</v>
      </c>
      <c r="E30" s="10">
        <f t="shared" si="29"/>
        <v>1</v>
      </c>
      <c r="F30" s="10">
        <f t="shared" ref="F30" si="30">F28/F29</f>
        <v>1</v>
      </c>
      <c r="G30" s="10">
        <f t="shared" si="28"/>
        <v>5</v>
      </c>
      <c r="H30" s="10">
        <f t="shared" si="28"/>
        <v>5</v>
      </c>
      <c r="I30" t="s">
        <v>107</v>
      </c>
      <c r="J30" t="s">
        <v>78</v>
      </c>
    </row>
    <row r="31" spans="1:23" x14ac:dyDescent="0.25">
      <c r="A31" s="5" t="s">
        <v>48</v>
      </c>
      <c r="B31" s="1">
        <f t="shared" ref="B31:H31" si="31">0.001*B28/e</f>
        <v>2080472683393666.7</v>
      </c>
      <c r="C31" s="1">
        <f t="shared" si="31"/>
        <v>2080472683393666.7</v>
      </c>
      <c r="D31" s="1">
        <f t="shared" si="31"/>
        <v>6241418050181001</v>
      </c>
      <c r="E31" s="1">
        <f t="shared" si="31"/>
        <v>6241418050181001</v>
      </c>
      <c r="F31" s="1">
        <f t="shared" ref="F31" si="32">0.001*F28/e</f>
        <v>6241418050181001</v>
      </c>
      <c r="G31" s="1">
        <f t="shared" si="31"/>
        <v>3120709025090500.5</v>
      </c>
      <c r="H31" s="1">
        <f t="shared" si="31"/>
        <v>3120709025090500.5</v>
      </c>
      <c r="I31" t="s">
        <v>49</v>
      </c>
      <c r="J31" t="s">
        <v>50</v>
      </c>
    </row>
    <row r="32" spans="1:23" x14ac:dyDescent="0.25">
      <c r="A32" s="5" t="s">
        <v>51</v>
      </c>
      <c r="B32" s="1">
        <f t="shared" ref="B32:H32" si="33">B31/B7</f>
        <v>29721038334195.238</v>
      </c>
      <c r="C32" s="1">
        <f t="shared" si="33"/>
        <v>69349089446455.555</v>
      </c>
      <c r="D32" s="1">
        <f t="shared" si="33"/>
        <v>89163115002585.734</v>
      </c>
      <c r="E32" s="1">
        <f t="shared" si="33"/>
        <v>208047268339366.69</v>
      </c>
      <c r="F32" s="1">
        <f t="shared" ref="F32" si="34">F31/F7</f>
        <v>208047268339366.69</v>
      </c>
      <c r="G32" s="1">
        <f t="shared" si="33"/>
        <v>208047268339366.69</v>
      </c>
      <c r="H32" s="1">
        <f t="shared" si="33"/>
        <v>208047268339366.69</v>
      </c>
      <c r="J32" t="s">
        <v>52</v>
      </c>
    </row>
    <row r="33" spans="1:14" x14ac:dyDescent="0.25">
      <c r="A33" s="5" t="s">
        <v>53</v>
      </c>
      <c r="B33" s="1">
        <f>B32/B8</f>
        <v>14860519167097.619</v>
      </c>
      <c r="C33" s="1">
        <f t="shared" ref="C33:H33" si="35">C32/C8</f>
        <v>17337272361613.889</v>
      </c>
      <c r="D33" s="1">
        <f t="shared" si="35"/>
        <v>22290778750646.434</v>
      </c>
      <c r="E33" s="1">
        <f t="shared" si="35"/>
        <v>52011817084841.672</v>
      </c>
      <c r="F33" s="1">
        <f t="shared" ref="F33" si="36">F32/F8</f>
        <v>52011817084841.672</v>
      </c>
      <c r="G33" s="1">
        <f t="shared" si="35"/>
        <v>52011817084841.672</v>
      </c>
      <c r="H33" s="1">
        <f t="shared" si="35"/>
        <v>52011817084841.672</v>
      </c>
      <c r="J33" t="s">
        <v>54</v>
      </c>
    </row>
    <row r="34" spans="1:14" x14ac:dyDescent="0.25">
      <c r="A34" s="14" t="s">
        <v>117</v>
      </c>
    </row>
    <row r="35" spans="1:14" x14ac:dyDescent="0.25">
      <c r="A35" s="2" t="s">
        <v>55</v>
      </c>
      <c r="B35" s="6">
        <v>1.8</v>
      </c>
      <c r="C35" s="6">
        <v>1.8</v>
      </c>
      <c r="D35" s="6">
        <v>1.8</v>
      </c>
      <c r="E35" s="6">
        <v>1.8</v>
      </c>
      <c r="F35" s="6">
        <v>1.8</v>
      </c>
      <c r="G35" s="11">
        <v>1.8</v>
      </c>
      <c r="H35" s="11">
        <v>1.8</v>
      </c>
      <c r="I35" s="5" t="s">
        <v>64</v>
      </c>
      <c r="J35" s="5" t="s">
        <v>75</v>
      </c>
    </row>
    <row r="36" spans="1:14" x14ac:dyDescent="0.25">
      <c r="A36" s="2" t="s">
        <v>56</v>
      </c>
      <c r="B36" s="11">
        <f t="shared" ref="B36:H36" si="37">O18/(B35*c_*10^-9)</f>
        <v>7.0878181637311268</v>
      </c>
      <c r="C36" s="11">
        <f t="shared" si="37"/>
        <v>7.0878181637311268</v>
      </c>
      <c r="D36" s="11">
        <f t="shared" si="37"/>
        <v>7.0878181637311268</v>
      </c>
      <c r="E36" s="11">
        <f t="shared" si="37"/>
        <v>7.0878181637311268</v>
      </c>
      <c r="F36" s="11">
        <f t="shared" si="37"/>
        <v>7.0878181637311268</v>
      </c>
      <c r="G36" s="11">
        <f t="shared" si="37"/>
        <v>16.471887266408043</v>
      </c>
      <c r="H36" s="11">
        <f t="shared" si="37"/>
        <v>16.471887266408043</v>
      </c>
      <c r="I36" s="2" t="s">
        <v>31</v>
      </c>
      <c r="J36" s="2" t="s">
        <v>57</v>
      </c>
    </row>
    <row r="37" spans="1:14" x14ac:dyDescent="0.25">
      <c r="A37" s="2" t="s">
        <v>58</v>
      </c>
      <c r="B37" s="6">
        <v>0.5</v>
      </c>
      <c r="C37" s="6">
        <v>0.5</v>
      </c>
      <c r="D37" s="6">
        <v>0.5</v>
      </c>
      <c r="E37" s="6">
        <v>0.5</v>
      </c>
      <c r="F37" s="6">
        <v>0.5</v>
      </c>
      <c r="G37" s="6">
        <v>0.5</v>
      </c>
      <c r="H37" s="6">
        <v>0.5</v>
      </c>
      <c r="I37" s="6"/>
      <c r="J37" s="2" t="s">
        <v>59</v>
      </c>
    </row>
    <row r="38" spans="1:14" x14ac:dyDescent="0.25">
      <c r="A38" s="2" t="s">
        <v>60</v>
      </c>
      <c r="B38" s="11">
        <f>B36/B37</f>
        <v>14.175636327462254</v>
      </c>
      <c r="C38" s="11">
        <f t="shared" ref="C38:E38" si="38">C36/C37</f>
        <v>14.175636327462254</v>
      </c>
      <c r="D38" s="11">
        <f t="shared" si="38"/>
        <v>14.175636327462254</v>
      </c>
      <c r="E38" s="11">
        <f t="shared" si="38"/>
        <v>14.175636327462254</v>
      </c>
      <c r="F38" s="11">
        <f t="shared" ref="F38" si="39">F36/F37</f>
        <v>14.175636327462254</v>
      </c>
      <c r="G38" s="11">
        <f t="shared" ref="G38:H38" si="40">G36/G37</f>
        <v>32.943774532816086</v>
      </c>
      <c r="H38" s="11">
        <f t="shared" si="40"/>
        <v>32.943774532816086</v>
      </c>
      <c r="I38" s="2" t="s">
        <v>31</v>
      </c>
      <c r="J38" s="2" t="s">
        <v>61</v>
      </c>
    </row>
    <row r="39" spans="1:14" x14ac:dyDescent="0.25">
      <c r="A39" s="2" t="s">
        <v>10</v>
      </c>
      <c r="B39" s="11">
        <f t="shared" ref="B39:H39" si="41">2*pi*B38</f>
        <v>89.068149892637891</v>
      </c>
      <c r="C39" s="11">
        <f t="shared" si="41"/>
        <v>89.068149892637891</v>
      </c>
      <c r="D39" s="11">
        <f t="shared" si="41"/>
        <v>89.068149892637891</v>
      </c>
      <c r="E39" s="11">
        <f t="shared" si="41"/>
        <v>89.068149892637891</v>
      </c>
      <c r="F39" s="11">
        <f t="shared" ref="F39" si="42">2*pi*F38</f>
        <v>89.068149892637891</v>
      </c>
      <c r="G39" s="11">
        <f t="shared" si="41"/>
        <v>206.99184010764071</v>
      </c>
      <c r="H39" s="11">
        <f t="shared" si="41"/>
        <v>206.99184010764071</v>
      </c>
      <c r="I39" s="2" t="s">
        <v>31</v>
      </c>
      <c r="J39" s="2" t="s">
        <v>62</v>
      </c>
    </row>
    <row r="40" spans="1:14" x14ac:dyDescent="0.25">
      <c r="A40" s="5" t="s">
        <v>112</v>
      </c>
      <c r="B40" s="11">
        <v>0.5</v>
      </c>
      <c r="C40" s="11">
        <v>0.5</v>
      </c>
      <c r="D40" s="11">
        <v>0.3</v>
      </c>
      <c r="E40" s="11">
        <v>0.3</v>
      </c>
      <c r="F40" s="11">
        <v>0.3</v>
      </c>
      <c r="G40" s="11">
        <v>0.5</v>
      </c>
      <c r="H40" s="11">
        <v>0.5</v>
      </c>
      <c r="I40" s="2"/>
      <c r="J40" s="5" t="s">
        <v>114</v>
      </c>
    </row>
    <row r="41" spans="1:14" x14ac:dyDescent="0.25">
      <c r="A41" s="5" t="s">
        <v>120</v>
      </c>
      <c r="B41" s="7">
        <f t="shared" ref="B41:H41" si="43">B39*B40*B9/(B8*O19*c_*SQRT(12))</f>
        <v>4.4152895655771916E-8</v>
      </c>
      <c r="C41" s="7">
        <f t="shared" si="43"/>
        <v>4.4152895655771916E-8</v>
      </c>
      <c r="D41" s="7">
        <f t="shared" si="43"/>
        <v>2.6491737393463151E-8</v>
      </c>
      <c r="E41" s="7">
        <f t="shared" si="43"/>
        <v>2.6491737393463151E-8</v>
      </c>
      <c r="F41" s="7">
        <f t="shared" si="43"/>
        <v>2.6491737393463151E-8</v>
      </c>
      <c r="G41" s="7">
        <f t="shared" si="43"/>
        <v>2.5052268543088681E-8</v>
      </c>
      <c r="H41" s="7">
        <f t="shared" si="43"/>
        <v>2.5052268543088681E-8</v>
      </c>
      <c r="I41" s="5" t="s">
        <v>14</v>
      </c>
      <c r="J41" s="5" t="s">
        <v>121</v>
      </c>
    </row>
    <row r="42" spans="1:14" x14ac:dyDescent="0.25">
      <c r="A42" s="5" t="s">
        <v>123</v>
      </c>
      <c r="B42" s="11">
        <f>B41/B18</f>
        <v>14.717631885257305</v>
      </c>
      <c r="C42" s="11">
        <f t="shared" ref="C42:H42" si="44">C41/C18</f>
        <v>14.717631885257305</v>
      </c>
      <c r="D42" s="11">
        <f t="shared" si="44"/>
        <v>8.8305791311543835</v>
      </c>
      <c r="E42" s="11">
        <f t="shared" si="44"/>
        <v>8.8305791311543835</v>
      </c>
      <c r="F42" s="11">
        <f t="shared" ref="F42" si="45">F41/F18</f>
        <v>8.8305791311543835</v>
      </c>
      <c r="G42" s="11">
        <f t="shared" si="44"/>
        <v>8.3507561810295599</v>
      </c>
      <c r="H42" s="11">
        <f t="shared" si="44"/>
        <v>8.3507561810295599</v>
      </c>
      <c r="I42" s="2"/>
      <c r="J42" s="5" t="s">
        <v>122</v>
      </c>
    </row>
    <row r="43" spans="1:14" x14ac:dyDescent="0.25">
      <c r="A43" s="5" t="s">
        <v>113</v>
      </c>
      <c r="B43" s="7">
        <f>B45*B44/B40</f>
        <v>-8.3277875146412911E-3</v>
      </c>
      <c r="C43" s="7">
        <f t="shared" ref="C43:H43" si="46">C45*C44/C40</f>
        <v>-9.715752100414839E-3</v>
      </c>
      <c r="D43" s="7">
        <f t="shared" si="46"/>
        <v>-1.084347332635585E-2</v>
      </c>
      <c r="E43" s="7">
        <f t="shared" si="46"/>
        <v>-2.530143776149698E-2</v>
      </c>
      <c r="F43" s="7">
        <f t="shared" ref="F43" si="47">F45*F44/F40</f>
        <v>-2.530143776149698E-2</v>
      </c>
      <c r="G43" s="7">
        <f t="shared" si="46"/>
        <v>-3.7154229475846808E-3</v>
      </c>
      <c r="H43" s="7">
        <f t="shared" si="46"/>
        <v>-3.7154229475846808E-3</v>
      </c>
      <c r="I43" s="2"/>
      <c r="J43" s="5" t="s">
        <v>115</v>
      </c>
    </row>
    <row r="44" spans="1:14" x14ac:dyDescent="0.25">
      <c r="A44" s="5" t="s">
        <v>111</v>
      </c>
      <c r="B44" s="7">
        <f t="shared" ref="B44:H44" si="48">(2*pi)^0.5*B18*O19*c_/B39</f>
        <v>2.4582801778155791E-2</v>
      </c>
      <c r="C44" s="7">
        <f t="shared" si="48"/>
        <v>2.4582801778155791E-2</v>
      </c>
      <c r="D44" s="7">
        <f t="shared" si="48"/>
        <v>2.4582801778155791E-2</v>
      </c>
      <c r="E44" s="7">
        <f t="shared" si="48"/>
        <v>2.4582801778155791E-2</v>
      </c>
      <c r="F44" s="7">
        <f t="shared" si="48"/>
        <v>2.4582801778155791E-2</v>
      </c>
      <c r="G44" s="7">
        <f t="shared" si="48"/>
        <v>1.0831373214471562E-2</v>
      </c>
      <c r="H44" s="7">
        <f t="shared" si="48"/>
        <v>1.0831373214471562E-2</v>
      </c>
      <c r="I44" s="6"/>
      <c r="J44" s="5" t="s">
        <v>108</v>
      </c>
    </row>
    <row r="45" spans="1:14" x14ac:dyDescent="0.25">
      <c r="A45" s="5" t="s">
        <v>110</v>
      </c>
      <c r="B45" s="7">
        <f t="shared" ref="B45:H45" si="49">-rp*B33/(4*pi*O23*B24*10^-6*B44)</f>
        <v>-0.16938239159625287</v>
      </c>
      <c r="C45" s="7">
        <f t="shared" si="49"/>
        <v>-0.19761279019562833</v>
      </c>
      <c r="D45" s="7">
        <f t="shared" si="49"/>
        <v>-0.13232999343457258</v>
      </c>
      <c r="E45" s="7">
        <f t="shared" si="49"/>
        <v>-0.3087699846806693</v>
      </c>
      <c r="F45" s="7">
        <f t="shared" si="49"/>
        <v>-0.3087699846806693</v>
      </c>
      <c r="G45" s="7">
        <f t="shared" si="49"/>
        <v>-0.17151209149642194</v>
      </c>
      <c r="H45" s="7">
        <f t="shared" si="49"/>
        <v>-0.17151209149642194</v>
      </c>
      <c r="I45" s="6"/>
      <c r="J45" s="5" t="s">
        <v>109</v>
      </c>
    </row>
    <row r="46" spans="1:14" ht="18.75" x14ac:dyDescent="0.25">
      <c r="A46" s="37" t="s">
        <v>128</v>
      </c>
      <c r="H46" s="1"/>
    </row>
    <row r="47" spans="1:14" x14ac:dyDescent="0.25">
      <c r="A47" s="14" t="s">
        <v>145</v>
      </c>
      <c r="H47" s="1"/>
    </row>
    <row r="48" spans="1:14" x14ac:dyDescent="0.25">
      <c r="A48" s="5" t="s">
        <v>131</v>
      </c>
      <c r="B48">
        <v>4</v>
      </c>
      <c r="C48">
        <v>63</v>
      </c>
      <c r="D48">
        <v>4</v>
      </c>
      <c r="E48">
        <v>63</v>
      </c>
      <c r="F48">
        <v>750</v>
      </c>
      <c r="G48">
        <v>4</v>
      </c>
      <c r="H48">
        <v>750</v>
      </c>
      <c r="I48" t="s">
        <v>63</v>
      </c>
      <c r="J48" s="5" t="s">
        <v>130</v>
      </c>
      <c r="N48" s="8" t="s">
        <v>129</v>
      </c>
    </row>
    <row r="49" spans="1:21" x14ac:dyDescent="0.25">
      <c r="A49" s="5" t="s">
        <v>55</v>
      </c>
      <c r="B49">
        <v>8</v>
      </c>
      <c r="C49">
        <v>8</v>
      </c>
      <c r="D49">
        <v>8</v>
      </c>
      <c r="E49">
        <v>8</v>
      </c>
      <c r="F49">
        <v>6.5</v>
      </c>
      <c r="G49">
        <v>8</v>
      </c>
      <c r="H49">
        <v>6.5</v>
      </c>
      <c r="I49" t="s">
        <v>133</v>
      </c>
      <c r="J49" s="5" t="s">
        <v>132</v>
      </c>
      <c r="N49" s="2" t="s">
        <v>37</v>
      </c>
      <c r="O49" s="4">
        <f>B48+mmu</f>
        <v>4.105658</v>
      </c>
      <c r="P49" s="4">
        <f>C48+mmu</f>
        <v>63.105657999999998</v>
      </c>
      <c r="Q49" s="4">
        <f>D48+mmu</f>
        <v>4.105658</v>
      </c>
      <c r="R49" s="4">
        <f>E48+mmu</f>
        <v>63.105657999999998</v>
      </c>
      <c r="S49" s="4">
        <f t="shared" ref="S49:U49" si="50">F48+mmu</f>
        <v>750.10565799999995</v>
      </c>
      <c r="T49" s="4">
        <f t="shared" si="50"/>
        <v>4.105658</v>
      </c>
      <c r="U49" s="4">
        <f t="shared" si="50"/>
        <v>750.10565799999995</v>
      </c>
    </row>
    <row r="50" spans="1:21" x14ac:dyDescent="0.25">
      <c r="A50" s="5" t="s">
        <v>140</v>
      </c>
      <c r="B50" s="10">
        <f t="shared" ref="B50:H50" si="51">O50/(0.2998*B49)</f>
        <v>1.7112651078960057</v>
      </c>
      <c r="C50" s="10">
        <f t="shared" si="51"/>
        <v>26.311528330628146</v>
      </c>
      <c r="D50" s="10">
        <f t="shared" si="51"/>
        <v>1.7112651078960057</v>
      </c>
      <c r="E50" s="10">
        <f t="shared" si="51"/>
        <v>26.311528330628146</v>
      </c>
      <c r="F50" s="10">
        <f t="shared" si="51"/>
        <v>384.92618184360833</v>
      </c>
      <c r="G50" s="10">
        <f t="shared" si="51"/>
        <v>1.7112651078960057</v>
      </c>
      <c r="H50" s="10">
        <f t="shared" si="51"/>
        <v>384.92618184360833</v>
      </c>
      <c r="I50" t="s">
        <v>136</v>
      </c>
      <c r="J50" s="5" t="s">
        <v>134</v>
      </c>
      <c r="N50" s="2" t="s">
        <v>38</v>
      </c>
      <c r="O50" s="4">
        <f t="shared" ref="O50:U50" si="52">SQRT(O49^2-mmu^2)</f>
        <v>4.1042982347777803</v>
      </c>
      <c r="P50" s="4">
        <f t="shared" si="52"/>
        <v>63.105569548178551</v>
      </c>
      <c r="Q50" s="4">
        <f t="shared" si="52"/>
        <v>4.1042982347777803</v>
      </c>
      <c r="R50" s="4">
        <f t="shared" si="52"/>
        <v>63.105569548178551</v>
      </c>
      <c r="S50" s="4">
        <f t="shared" si="52"/>
        <v>750.10565055863958</v>
      </c>
      <c r="T50" s="4">
        <f t="shared" si="52"/>
        <v>4.1042982347777803</v>
      </c>
      <c r="U50" s="4">
        <f t="shared" si="52"/>
        <v>750.10565055863958</v>
      </c>
    </row>
    <row r="51" spans="1:21" x14ac:dyDescent="0.25">
      <c r="A51" s="5" t="s">
        <v>135</v>
      </c>
      <c r="B51">
        <v>2</v>
      </c>
      <c r="C51">
        <v>2</v>
      </c>
      <c r="D51">
        <v>2</v>
      </c>
      <c r="E51">
        <v>2</v>
      </c>
      <c r="F51">
        <v>2</v>
      </c>
      <c r="G51">
        <v>2</v>
      </c>
      <c r="H51">
        <v>2</v>
      </c>
      <c r="J51" s="5" t="s">
        <v>141</v>
      </c>
      <c r="N51" s="31" t="s">
        <v>25</v>
      </c>
      <c r="O51" s="32">
        <f>O50/O49</f>
        <v>0.99966880699215088</v>
      </c>
      <c r="P51" s="32">
        <f t="shared" ref="P51:R51" si="53">P50/P49</f>
        <v>0.99999859835355098</v>
      </c>
      <c r="Q51" s="32">
        <f t="shared" si="53"/>
        <v>0.99966880699215088</v>
      </c>
      <c r="R51" s="32">
        <f t="shared" si="53"/>
        <v>0.99999859835355098</v>
      </c>
      <c r="S51" s="32">
        <f>S50/S49</f>
        <v>0.99999999007958373</v>
      </c>
      <c r="T51" s="32">
        <f>T50/T49</f>
        <v>0.99966880699215088</v>
      </c>
      <c r="U51" s="32">
        <f>U50/U49</f>
        <v>0.99999999007958373</v>
      </c>
    </row>
    <row r="52" spans="1:21" x14ac:dyDescent="0.25">
      <c r="A52" s="5" t="s">
        <v>137</v>
      </c>
      <c r="B52">
        <v>50</v>
      </c>
      <c r="C52">
        <v>50</v>
      </c>
      <c r="D52">
        <v>50</v>
      </c>
      <c r="E52">
        <v>50</v>
      </c>
      <c r="F52">
        <v>100</v>
      </c>
      <c r="G52">
        <v>50</v>
      </c>
      <c r="H52">
        <v>100</v>
      </c>
      <c r="I52" t="s">
        <v>136</v>
      </c>
      <c r="J52" s="5" t="s">
        <v>138</v>
      </c>
      <c r="N52" s="31" t="s">
        <v>39</v>
      </c>
      <c r="O52" s="32">
        <f t="shared" ref="O52:U52" si="54">O49/mmu</f>
        <v>38.857994662022755</v>
      </c>
      <c r="P52" s="32">
        <f t="shared" si="54"/>
        <v>597.26341592685833</v>
      </c>
      <c r="Q52" s="32">
        <f t="shared" si="54"/>
        <v>38.857994662022755</v>
      </c>
      <c r="R52" s="32">
        <f t="shared" si="54"/>
        <v>597.26341592685833</v>
      </c>
      <c r="S52" s="32">
        <f t="shared" ref="S52" si="55">S49/mmu</f>
        <v>7099.3739991292659</v>
      </c>
      <c r="T52" s="32">
        <f t="shared" si="54"/>
        <v>38.857994662022755</v>
      </c>
      <c r="U52" s="32">
        <f t="shared" si="54"/>
        <v>7099.3739991292659</v>
      </c>
    </row>
    <row r="53" spans="1:21" x14ac:dyDescent="0.25">
      <c r="A53" s="5" t="s">
        <v>139</v>
      </c>
      <c r="B53">
        <v>2</v>
      </c>
      <c r="C53">
        <v>2</v>
      </c>
      <c r="D53">
        <v>2</v>
      </c>
      <c r="E53">
        <v>2</v>
      </c>
      <c r="F53">
        <v>2</v>
      </c>
      <c r="G53">
        <v>2</v>
      </c>
      <c r="H53">
        <v>2</v>
      </c>
      <c r="J53" s="5" t="s">
        <v>142</v>
      </c>
      <c r="N53" s="31" t="s">
        <v>40</v>
      </c>
      <c r="O53" s="32">
        <f t="shared" ref="O53:U55" si="56">O51*O52</f>
        <v>38.845125165891652</v>
      </c>
      <c r="P53" s="32">
        <f t="shared" si="56"/>
        <v>597.26257877471221</v>
      </c>
      <c r="Q53" s="32">
        <f t="shared" si="56"/>
        <v>38.845125165891652</v>
      </c>
      <c r="R53" s="32">
        <f t="shared" si="56"/>
        <v>597.26257877471221</v>
      </c>
      <c r="S53" s="32">
        <f t="shared" ref="S53" si="57">S51*S52</f>
        <v>7099.373928700521</v>
      </c>
      <c r="T53" s="32">
        <f t="shared" si="56"/>
        <v>38.845125165891652</v>
      </c>
      <c r="U53" s="32">
        <f t="shared" si="56"/>
        <v>7099.373928700521</v>
      </c>
    </row>
    <row r="54" spans="1:21" x14ac:dyDescent="0.25">
      <c r="A54" s="5" t="s">
        <v>10</v>
      </c>
      <c r="B54" s="10">
        <f t="shared" ref="B54:H54" si="58">B51*pi*B50+B53*B52</f>
        <v>110.75219578262198</v>
      </c>
      <c r="C54" s="10">
        <f t="shared" si="58"/>
        <v>265.32020821645312</v>
      </c>
      <c r="D54" s="10">
        <f t="shared" si="58"/>
        <v>110.75219578262198</v>
      </c>
      <c r="E54" s="10">
        <f t="shared" si="58"/>
        <v>265.32020821645312</v>
      </c>
      <c r="F54" s="10">
        <f t="shared" si="58"/>
        <v>2618.562530108657</v>
      </c>
      <c r="G54" s="10">
        <f t="shared" si="58"/>
        <v>110.75219578262198</v>
      </c>
      <c r="H54" s="10">
        <f t="shared" si="58"/>
        <v>2618.562530108657</v>
      </c>
      <c r="I54" t="s">
        <v>136</v>
      </c>
      <c r="J54" s="5" t="s">
        <v>62</v>
      </c>
      <c r="N54" s="2" t="s">
        <v>41</v>
      </c>
      <c r="O54" s="3">
        <f t="shared" si="56"/>
        <v>1509.4436663418235</v>
      </c>
      <c r="P54" s="3">
        <f t="shared" si="56"/>
        <v>356723.08800426894</v>
      </c>
      <c r="Q54" s="3">
        <f t="shared" si="56"/>
        <v>1509.4436663418235</v>
      </c>
      <c r="R54" s="3">
        <f t="shared" si="56"/>
        <v>356723.08800426894</v>
      </c>
      <c r="S54" s="3">
        <f t="shared" ref="S54" si="59">S52*S53</f>
        <v>50401110.679512665</v>
      </c>
      <c r="T54" s="3">
        <f t="shared" si="56"/>
        <v>1509.4436663418235</v>
      </c>
      <c r="U54" s="3">
        <f t="shared" si="56"/>
        <v>50401110.679512665</v>
      </c>
    </row>
    <row r="55" spans="1:21" x14ac:dyDescent="0.25">
      <c r="A55" s="5" t="s">
        <v>143</v>
      </c>
      <c r="B55" s="10">
        <f>B52/B54</f>
        <v>0.45145831779387124</v>
      </c>
      <c r="C55" s="10">
        <f t="shared" ref="C55:H55" si="60">C52/C54</f>
        <v>0.18845153309697796</v>
      </c>
      <c r="D55" s="10">
        <f t="shared" si="60"/>
        <v>0.45145831779387124</v>
      </c>
      <c r="E55" s="10">
        <f t="shared" si="60"/>
        <v>0.18845153309697796</v>
      </c>
      <c r="F55" s="10">
        <f t="shared" ref="F55" si="61">F52/F54</f>
        <v>3.8188891366993827E-2</v>
      </c>
      <c r="G55" s="10">
        <f t="shared" si="60"/>
        <v>0.45145831779387124</v>
      </c>
      <c r="H55" s="10">
        <f t="shared" si="60"/>
        <v>3.8188891366993827E-2</v>
      </c>
      <c r="J55" s="5" t="s">
        <v>144</v>
      </c>
      <c r="N55" s="2" t="s">
        <v>42</v>
      </c>
      <c r="O55" s="3">
        <f t="shared" si="56"/>
        <v>58634.528149910526</v>
      </c>
      <c r="P55" s="3">
        <f t="shared" si="56"/>
        <v>213057351.44990829</v>
      </c>
      <c r="Q55" s="3">
        <f t="shared" si="56"/>
        <v>58634.528149910526</v>
      </c>
      <c r="R55" s="3">
        <f t="shared" si="56"/>
        <v>213057351.44990829</v>
      </c>
      <c r="S55" s="3">
        <f t="shared" ref="S55" si="62">S53*S54</f>
        <v>357816331135.68164</v>
      </c>
      <c r="T55" s="3">
        <f t="shared" si="56"/>
        <v>58634.528149910526</v>
      </c>
      <c r="U55" s="3">
        <f t="shared" si="56"/>
        <v>357816331135.68164</v>
      </c>
    </row>
    <row r="56" spans="1:21" x14ac:dyDescent="0.25">
      <c r="A56" s="5" t="s">
        <v>147</v>
      </c>
      <c r="B56" s="1">
        <f t="shared" ref="B56:H56" si="63">O51*c_/B54</f>
        <v>2706047.552542273</v>
      </c>
      <c r="C56" s="1">
        <f t="shared" si="63"/>
        <v>1129953.8086515164</v>
      </c>
      <c r="D56" s="1">
        <f t="shared" si="63"/>
        <v>2706047.552542273</v>
      </c>
      <c r="E56" s="1">
        <f t="shared" si="63"/>
        <v>1129953.8086515164</v>
      </c>
      <c r="F56" s="1">
        <f t="shared" si="63"/>
        <v>114490.29518245607</v>
      </c>
      <c r="G56" s="1">
        <f t="shared" si="63"/>
        <v>2706047.552542273</v>
      </c>
      <c r="H56" s="1">
        <f t="shared" si="63"/>
        <v>114490.29518245607</v>
      </c>
      <c r="I56" t="s">
        <v>148</v>
      </c>
      <c r="J56" s="5" t="s">
        <v>149</v>
      </c>
      <c r="N56" s="2"/>
      <c r="O56" s="9"/>
      <c r="P56" s="9"/>
      <c r="Q56" s="9"/>
      <c r="R56" s="9"/>
      <c r="S56" s="9"/>
      <c r="T56" s="9"/>
    </row>
    <row r="57" spans="1:21" x14ac:dyDescent="0.25">
      <c r="A57" s="5" t="s">
        <v>150</v>
      </c>
      <c r="B57" s="1">
        <f>1/B56</f>
        <v>3.6954265606327639E-7</v>
      </c>
      <c r="C57" s="1">
        <f t="shared" ref="C57:H57" si="64">1/C56</f>
        <v>8.8499192829253526E-7</v>
      </c>
      <c r="D57" s="1">
        <f t="shared" si="64"/>
        <v>3.6954265606327639E-7</v>
      </c>
      <c r="E57" s="1">
        <f t="shared" si="64"/>
        <v>8.8499192829253526E-7</v>
      </c>
      <c r="F57" s="1">
        <f t="shared" ref="F57" si="65">1/F56</f>
        <v>8.7343647634619344E-6</v>
      </c>
      <c r="G57" s="1">
        <f t="shared" si="64"/>
        <v>3.6954265606327639E-7</v>
      </c>
      <c r="H57" s="1">
        <f t="shared" si="64"/>
        <v>8.7343647634619344E-6</v>
      </c>
      <c r="I57" t="s">
        <v>14</v>
      </c>
      <c r="J57" s="5" t="s">
        <v>151</v>
      </c>
      <c r="N57" s="2"/>
      <c r="O57" s="9"/>
      <c r="P57" s="9"/>
      <c r="Q57" s="9"/>
      <c r="R57" s="9"/>
      <c r="S57" s="9"/>
      <c r="T57" s="9"/>
    </row>
    <row r="58" spans="1:21" x14ac:dyDescent="0.25">
      <c r="A58" s="14" t="s">
        <v>146</v>
      </c>
    </row>
    <row r="59" spans="1:21" x14ac:dyDescent="0.25">
      <c r="A59" s="5" t="s">
        <v>153</v>
      </c>
      <c r="B59">
        <v>0.02</v>
      </c>
      <c r="C59">
        <v>0.02</v>
      </c>
      <c r="D59">
        <v>0.02</v>
      </c>
      <c r="E59">
        <v>0.02</v>
      </c>
      <c r="F59">
        <v>0.02</v>
      </c>
      <c r="G59">
        <v>0.08</v>
      </c>
      <c r="H59">
        <v>0.08</v>
      </c>
      <c r="J59" s="5" t="s">
        <v>155</v>
      </c>
    </row>
    <row r="60" spans="1:21" x14ac:dyDescent="0.25">
      <c r="A60" s="5" t="s">
        <v>154</v>
      </c>
      <c r="B60">
        <v>0.25</v>
      </c>
      <c r="C60">
        <v>0.3</v>
      </c>
      <c r="D60">
        <v>0.5</v>
      </c>
      <c r="E60">
        <v>0.3</v>
      </c>
      <c r="F60">
        <v>0.12</v>
      </c>
      <c r="G60">
        <v>0.5</v>
      </c>
      <c r="H60">
        <v>0.12</v>
      </c>
      <c r="J60" s="5" t="s">
        <v>156</v>
      </c>
    </row>
    <row r="61" spans="1:21" x14ac:dyDescent="0.25">
      <c r="A61" s="5" t="s">
        <v>152</v>
      </c>
      <c r="B61" s="1">
        <f>B31*B59/B14</f>
        <v>594420766683.90479</v>
      </c>
      <c r="C61" s="1">
        <f t="shared" ref="C61:H61" si="66">C31*C59/C14</f>
        <v>1386981788929.1111</v>
      </c>
      <c r="D61" s="1">
        <f t="shared" si="66"/>
        <v>1783262300051.7146</v>
      </c>
      <c r="E61" s="1">
        <f t="shared" si="66"/>
        <v>4160945366787.334</v>
      </c>
      <c r="F61" s="1">
        <f t="shared" ref="F61" si="67">F31*F59/F14</f>
        <v>4160945366787.334</v>
      </c>
      <c r="G61" s="1">
        <f t="shared" si="66"/>
        <v>4160945366787.334</v>
      </c>
      <c r="H61" s="1">
        <f t="shared" si="66"/>
        <v>16643781467149.336</v>
      </c>
      <c r="J61" s="5" t="s">
        <v>186</v>
      </c>
    </row>
    <row r="62" spans="1:21" x14ac:dyDescent="0.25">
      <c r="A62" s="5" t="s">
        <v>163</v>
      </c>
      <c r="B62" s="1">
        <f>B60*B61</f>
        <v>148605191670.9762</v>
      </c>
      <c r="C62" s="1">
        <f t="shared" ref="C62:H62" si="68">C60*C61</f>
        <v>416094536678.73334</v>
      </c>
      <c r="D62" s="1">
        <f t="shared" si="68"/>
        <v>891631150025.8573</v>
      </c>
      <c r="E62" s="1">
        <f t="shared" si="68"/>
        <v>1248283610036.2002</v>
      </c>
      <c r="F62" s="1">
        <f t="shared" ref="F62" si="69">F60*F61</f>
        <v>499313444014.48004</v>
      </c>
      <c r="G62" s="1">
        <f t="shared" si="68"/>
        <v>2080472683393.667</v>
      </c>
      <c r="H62" s="1">
        <f t="shared" si="68"/>
        <v>1997253776057.9202</v>
      </c>
      <c r="J62" s="5" t="s">
        <v>164</v>
      </c>
    </row>
    <row r="63" spans="1:21" x14ac:dyDescent="0.25">
      <c r="A63" s="5" t="s">
        <v>168</v>
      </c>
      <c r="B63" s="1">
        <f>B62*B55</f>
        <v>67089049847.214722</v>
      </c>
      <c r="C63" s="1"/>
      <c r="D63" s="1">
        <f t="shared" ref="D63:G63" si="70">D62*D55</f>
        <v>402534299083.28839</v>
      </c>
      <c r="E63" s="1"/>
      <c r="F63" s="1"/>
      <c r="G63" s="1">
        <f t="shared" si="70"/>
        <v>939246697861.00623</v>
      </c>
      <c r="H63" s="1"/>
      <c r="J63" s="5" t="s">
        <v>165</v>
      </c>
    </row>
    <row r="64" spans="1:21" x14ac:dyDescent="0.25">
      <c r="A64" s="5" t="s">
        <v>169</v>
      </c>
      <c r="B64" s="1">
        <f>B63*B14</f>
        <v>4696233489305.0303</v>
      </c>
      <c r="C64" s="1"/>
      <c r="D64" s="1">
        <f t="shared" ref="D64:G64" si="71">D63*D14</f>
        <v>28177400935830.187</v>
      </c>
      <c r="E64" s="1"/>
      <c r="F64" s="1"/>
      <c r="G64" s="1">
        <f t="shared" si="71"/>
        <v>56354801871660.375</v>
      </c>
      <c r="J64" s="5" t="s">
        <v>166</v>
      </c>
    </row>
    <row r="65" spans="1:12" x14ac:dyDescent="0.25">
      <c r="A65" s="5" t="s">
        <v>170</v>
      </c>
      <c r="B65" s="1">
        <f>20000000*B64</f>
        <v>9.3924669786100613E+19</v>
      </c>
      <c r="C65" s="1"/>
      <c r="D65" s="1">
        <f t="shared" ref="D65:G65" si="72">20000000*D64</f>
        <v>5.6354801871660378E+20</v>
      </c>
      <c r="E65" s="1"/>
      <c r="F65" s="1"/>
      <c r="G65" s="1">
        <f t="shared" si="72"/>
        <v>1.1270960374332076E+21</v>
      </c>
      <c r="J65" s="5" t="s">
        <v>167</v>
      </c>
    </row>
    <row r="66" spans="1:12" x14ac:dyDescent="0.25">
      <c r="A66" s="5" t="s">
        <v>171</v>
      </c>
      <c r="C66">
        <v>1.5</v>
      </c>
      <c r="E66">
        <v>1.5</v>
      </c>
      <c r="F66">
        <v>1</v>
      </c>
      <c r="H66">
        <v>1</v>
      </c>
      <c r="I66" t="s">
        <v>173</v>
      </c>
      <c r="J66" s="5" t="s">
        <v>174</v>
      </c>
      <c r="L66" t="s">
        <v>183</v>
      </c>
    </row>
    <row r="67" spans="1:12" x14ac:dyDescent="0.25">
      <c r="A67" s="5" t="s">
        <v>172</v>
      </c>
      <c r="C67">
        <v>0.8</v>
      </c>
      <c r="E67">
        <v>0.8</v>
      </c>
      <c r="F67">
        <v>0.82</v>
      </c>
      <c r="H67">
        <v>0.82</v>
      </c>
      <c r="J67" s="5" t="s">
        <v>175</v>
      </c>
    </row>
    <row r="68" spans="1:12" x14ac:dyDescent="0.25">
      <c r="A68" s="5" t="s">
        <v>177</v>
      </c>
      <c r="C68" s="1">
        <v>2.0000000000000001E-4</v>
      </c>
      <c r="E68" s="1">
        <v>2.0000000000000001E-4</v>
      </c>
      <c r="F68" s="1">
        <v>2.5000000000000001E-5</v>
      </c>
      <c r="H68" s="1">
        <v>2.5000000000000001E-5</v>
      </c>
      <c r="I68" t="s">
        <v>136</v>
      </c>
      <c r="J68" s="5" t="s">
        <v>176</v>
      </c>
    </row>
    <row r="69" spans="1:12" x14ac:dyDescent="0.25">
      <c r="A69" s="5" t="s">
        <v>178</v>
      </c>
      <c r="C69" s="1">
        <f>P53*C56*C62^2*C67/(4*pi*C68*100*C66)</f>
        <v>2.479527279647101E+32</v>
      </c>
      <c r="D69" s="1"/>
      <c r="E69" s="1">
        <f>R53*E56*E62^2*E67/(4*pi*E68*100*E66)</f>
        <v>2.2315745516823923E+33</v>
      </c>
      <c r="F69" s="1">
        <f>S53*F56*F62^2*F67/(4*pi*F68*100*F66)</f>
        <v>5.2893124854448113E+33</v>
      </c>
      <c r="G69" s="1"/>
      <c r="H69" s="1">
        <f>U53*H56*H62^2*H67/(4*pi*H68*100*H66)</f>
        <v>8.4628999767116981E+34</v>
      </c>
      <c r="I69" t="s">
        <v>180</v>
      </c>
      <c r="J69" s="5" t="s">
        <v>179</v>
      </c>
    </row>
    <row r="70" spans="1:12" x14ac:dyDescent="0.25">
      <c r="A70" s="5" t="s">
        <v>181</v>
      </c>
      <c r="C70" s="1">
        <f>C69*P52*taumu*C14/2</f>
        <v>4.8870720786553316E+30</v>
      </c>
      <c r="D70" s="1"/>
      <c r="E70" s="1">
        <f>E69*R52*taumu*E14/2</f>
        <v>4.3983648707898004E+31</v>
      </c>
      <c r="F70" s="1">
        <f>F69*S52*taumu*F14/2</f>
        <v>1.2391766485704107E+33</v>
      </c>
      <c r="G70" s="1"/>
      <c r="H70" s="1">
        <f>H69*U52*taumu*H14/2</f>
        <v>9.913413188563286E+33</v>
      </c>
      <c r="I70" t="s">
        <v>180</v>
      </c>
      <c r="J70" s="5" t="s">
        <v>182</v>
      </c>
    </row>
    <row r="71" spans="1:12" x14ac:dyDescent="0.25">
      <c r="A71" s="5" t="s">
        <v>184</v>
      </c>
      <c r="C71" s="1">
        <f>rmu*C62/(4*pi*C68)</f>
        <v>2.2567679437869325E-3</v>
      </c>
      <c r="D71" s="1"/>
      <c r="E71" s="1">
        <f>rmu*E62/(4*pi*E68)</f>
        <v>6.7703038313607989E-3</v>
      </c>
      <c r="F71" s="1">
        <f>rmu*F62/(4*pi*F68)</f>
        <v>2.1664972260354552E-2</v>
      </c>
      <c r="G71" s="1"/>
      <c r="H71" s="1">
        <f>rmu*H62/(4*pi*H68)</f>
        <v>8.6659889041418206E-2</v>
      </c>
      <c r="J71" s="5" t="s">
        <v>185</v>
      </c>
    </row>
  </sheetData>
  <mergeCells count="3">
    <mergeCell ref="B3:C3"/>
    <mergeCell ref="G3:H3"/>
    <mergeCell ref="D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MAP stages</vt:lpstr>
      <vt:lpstr>Scenarios</vt:lpstr>
      <vt:lpstr>'MAP stages'!c_</vt:lpstr>
      <vt:lpstr>c_</vt:lpstr>
      <vt:lpstr>'MAP stages'!e</vt:lpstr>
      <vt:lpstr>e</vt:lpstr>
      <vt:lpstr>'MAP stages'!me</vt:lpstr>
      <vt:lpstr>me</vt:lpstr>
      <vt:lpstr>'MAP stages'!mmu</vt:lpstr>
      <vt:lpstr>mmu</vt:lpstr>
      <vt:lpstr>'MAP stages'!mp</vt:lpstr>
      <vt:lpstr>mp</vt:lpstr>
      <vt:lpstr>'MAP stages'!mpi</vt:lpstr>
      <vt:lpstr>mpi</vt:lpstr>
      <vt:lpstr>'MAP stages'!pi</vt:lpstr>
      <vt:lpstr>pi</vt:lpstr>
      <vt:lpstr>'MAP stages'!rmu</vt:lpstr>
      <vt:lpstr>rmu</vt:lpstr>
      <vt:lpstr>'MAP stages'!rp</vt:lpstr>
      <vt:lpstr>rp</vt:lpstr>
      <vt:lpstr>'MAP stages'!taumu</vt:lpstr>
      <vt:lpstr>taumu</vt:lpstr>
    </vt:vector>
  </TitlesOfParts>
  <Company>Fermilab | Accelerator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ankenbra</dc:creator>
  <cp:lastModifiedBy>David Neuffer</cp:lastModifiedBy>
  <cp:lastPrinted>2013-06-19T19:35:44Z</cp:lastPrinted>
  <dcterms:created xsi:type="dcterms:W3CDTF">2010-01-08T16:38:00Z</dcterms:created>
  <dcterms:modified xsi:type="dcterms:W3CDTF">2013-06-19T20:49:54Z</dcterms:modified>
</cp:coreProperties>
</file>