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20" windowWidth="24340" windowHeight="6720" activeTab="0"/>
  </bookViews>
  <sheets>
    <sheet name="Summary" sheetId="1" r:id="rId1"/>
  </sheets>
  <externalReferences>
    <externalReference r:id="rId4"/>
  </externalReferences>
  <definedNames>
    <definedName name="BOE">'[1]Lists'!$E$3:$E$7</definedName>
    <definedName name="System">'[1]Lists'!$A$3:$A$8</definedName>
    <definedName name="Task">'[1]Lists'!$C$3:$C$10</definedName>
  </definedNames>
  <calcPr fullCalcOnLoad="1"/>
</workbook>
</file>

<file path=xl/comments1.xml><?xml version="1.0" encoding="utf-8"?>
<comments xmlns="http://schemas.openxmlformats.org/spreadsheetml/2006/main">
  <authors>
    <author>John Cesaratto</author>
  </authors>
  <commentList>
    <comment ref="B12" authorId="0">
      <text>
        <r>
          <rPr>
            <b/>
            <sz val="9"/>
            <rFont val="Calibri"/>
            <family val="2"/>
          </rPr>
          <t>John Cesaratto:</t>
        </r>
        <r>
          <rPr>
            <sz val="9"/>
            <rFont val="Calibri"/>
            <family val="2"/>
          </rPr>
          <t xml:space="preserve">
expand to 16-32 bunch control MAX! Not full ring.  </t>
        </r>
      </text>
    </comment>
    <comment ref="B34" authorId="0">
      <text>
        <r>
          <rPr>
            <b/>
            <sz val="9"/>
            <rFont val="Calibri"/>
            <family val="2"/>
          </rPr>
          <t>John Cesaratto:</t>
        </r>
        <r>
          <rPr>
            <sz val="9"/>
            <rFont val="Calibri"/>
            <family val="2"/>
          </rPr>
          <t xml:space="preserve">
Second system should have capacity to handle full loaded SPS (4-6x 72 bunches)</t>
        </r>
      </text>
    </comment>
  </commentList>
</comments>
</file>

<file path=xl/sharedStrings.xml><?xml version="1.0" encoding="utf-8"?>
<sst xmlns="http://schemas.openxmlformats.org/spreadsheetml/2006/main" count="82" uniqueCount="75">
  <si>
    <r>
      <t>FULL FUNCTION DELIVERABLE</t>
    </r>
    <r>
      <rPr>
        <b/>
        <sz val="11"/>
        <color indexed="8"/>
        <rFont val="Calibri"/>
        <family val="2"/>
      </rPr>
      <t xml:space="preserve"> - HIGH BANDWIDTH INTRA-BUNCH INSTABILITY FEEDBACK SYSTEMS Full function </t>
    </r>
    <r>
      <rPr>
        <b/>
        <sz val="11"/>
        <color indexed="8"/>
        <rFont val="Calibri"/>
        <family val="2"/>
      </rPr>
      <t>deliverable</t>
    </r>
    <r>
      <rPr>
        <b/>
        <sz val="11"/>
        <color indexed="8"/>
        <rFont val="Calibri"/>
        <family val="2"/>
      </rPr>
      <t xml:space="preserve"> available for test after LS2 - FY2104 - FY2016 </t>
    </r>
    <r>
      <rPr>
        <sz val="11"/>
        <color indexed="8"/>
        <rFont val="Calibri"/>
        <family val="2"/>
      </rPr>
      <t xml:space="preserve">
Revision #1.5 J. Cesaratto, J. Fox, C. Rivetta , based on 1 full function deliverable and "supplied" SLAC labor rates
Revision Date: 07/02/2013</t>
    </r>
  </si>
  <si>
    <t>LARP Contribution</t>
  </si>
  <si>
    <t>CERN Contribution</t>
  </si>
  <si>
    <t>Potential LARP/CERN split cost</t>
  </si>
  <si>
    <t>SLAC - GARD Contribution</t>
  </si>
  <si>
    <t>Travel costs burdoned with G&amp;A labor rate, and escalated with labor by year</t>
  </si>
  <si>
    <t>TRAVEL</t>
  </si>
  <si>
    <t>Test laboratory equipment (e.g., high power loads, FPGA software, signal processing D/A eval.)</t>
  </si>
  <si>
    <t>CERN Fellow/Postdoc/Staff (E.g., K. Li) works on mix of simulation and hardware development</t>
  </si>
  <si>
    <t>FY12 BASE w/ Overhead</t>
  </si>
  <si>
    <t>G&amp;A labor rate of 53%</t>
  </si>
  <si>
    <t>Benefits rate 37%</t>
  </si>
  <si>
    <t>FTE</t>
  </si>
  <si>
    <t>Toohig Fellow (potential 1 FTE)</t>
  </si>
  <si>
    <t>SLAC Fellow/Postdoc (potential 1 FTE)</t>
  </si>
  <si>
    <t>LABOR RATES:</t>
  </si>
  <si>
    <t>FY18</t>
  </si>
  <si>
    <t>FY19</t>
  </si>
  <si>
    <t>FY20</t>
  </si>
  <si>
    <t>FY21</t>
  </si>
  <si>
    <t>FY22</t>
  </si>
  <si>
    <t>Total w/o Contingency</t>
  </si>
  <si>
    <t>Total incl. Contingency</t>
  </si>
  <si>
    <t>Contingency %</t>
  </si>
  <si>
    <t>Brief Scope Description and Assumptions.</t>
  </si>
  <si>
    <t>M&amp;S Escalation</t>
  </si>
  <si>
    <t>Labor Escalation</t>
  </si>
  <si>
    <t>M&amp;S</t>
  </si>
  <si>
    <t>Staff Scientist</t>
  </si>
  <si>
    <t>Staff Engineer</t>
  </si>
  <si>
    <t>Postdoc</t>
  </si>
  <si>
    <t>Wideband slotline kicker prototype</t>
  </si>
  <si>
    <t>FY12 BASE</t>
  </si>
  <si>
    <t>LABOR</t>
  </si>
  <si>
    <t>Reciever channel development, prototype</t>
  </si>
  <si>
    <t>Synchronization function for energy ramp</t>
  </si>
  <si>
    <t>NOTES:</t>
  </si>
  <si>
    <t>DESIGN STUDIES OF FULL-FUNCTION PROTOTYPE, SIMULATIONS, MDs with 1 bunch Demo</t>
  </si>
  <si>
    <t>LS1</t>
  </si>
  <si>
    <t>LS2</t>
  </si>
  <si>
    <t>LS3</t>
  </si>
  <si>
    <t>High bandwidth kicker power amplifiers,splitters/combiners</t>
  </si>
  <si>
    <t>High capacity processing channel development, 2nd FPGA platform for development</t>
  </si>
  <si>
    <t xml:space="preserve">DEVELOPMENT/EXPANSION of DEMONSTRATION PROCESSING SYSTEM </t>
  </si>
  <si>
    <t>Subtotal LARP/CERN (potential  cost share)</t>
  </si>
  <si>
    <t>Fellow/Postdoc/Staff, 1 FTE</t>
  </si>
  <si>
    <t>Fellow/Postdoc/Staff, 1.5 FTE</t>
  </si>
  <si>
    <t>Staff Scientist, 0.25 FTE</t>
  </si>
  <si>
    <t>Staff Engineer, 1 FTE</t>
  </si>
  <si>
    <t>Total LARP+SLAC (green + blue)</t>
  </si>
  <si>
    <t>Total LARP+SLAC+CERN (green + blue + orange + green dot)</t>
  </si>
  <si>
    <t>CERN costs estimated using typical US Lab costs.</t>
  </si>
  <si>
    <t>Color code:</t>
  </si>
  <si>
    <t>Graduate students fully costed. (Both SLAC and LARP support)</t>
  </si>
  <si>
    <t>Graduate Student, 2 FTE (50%  SLAC)</t>
  </si>
  <si>
    <t>Graduate Student, 2 FTE (50% LARP)</t>
  </si>
  <si>
    <t>Staff Scientist, 0.3 FTE</t>
  </si>
  <si>
    <t>Staff Scientist, 1.7 FTE</t>
  </si>
  <si>
    <t>Staff Engineer, 0.3 FTE</t>
  </si>
  <si>
    <t>Staff Scientist, 2 FTE</t>
  </si>
  <si>
    <t>Staff Engineer, 0.25 FTE</t>
  </si>
  <si>
    <t>Staff Engineer, 0.7 FTE</t>
  </si>
  <si>
    <t>Subtotal LARP</t>
  </si>
  <si>
    <t>Subtotal CERN</t>
  </si>
  <si>
    <t>Subtotal SLAC -GARD</t>
  </si>
  <si>
    <t>RF components, control equipment for kicker and power amplifiers</t>
  </si>
  <si>
    <t>Contingency catagories listed in proposal document, % here are averaged over assigned line tasks</t>
  </si>
  <si>
    <t>M&amp;S overhead rate 7.65% per Cole Carter</t>
  </si>
  <si>
    <t>Graduate Student (50% LARP, 50% SLAC ARD support)</t>
  </si>
  <si>
    <t>High power amplifiers for SPS MD evaluation</t>
  </si>
  <si>
    <t>FY13</t>
  </si>
  <si>
    <t>FY14</t>
  </si>
  <si>
    <t>FY15</t>
  </si>
  <si>
    <t>FY16</t>
  </si>
  <si>
    <t>FY17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</si>
</sst>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"/>
    <numFmt numFmtId="177" formatCode="_(&quot;$&quot;* #,##0_);_(&quot;$&quot;* \(#,##0\);_(&quot;$&quot;* &quot;-&quot;??_);_(@_)"/>
    <numFmt numFmtId="178" formatCode="&quot;$&quot;#,##0.00"/>
    <numFmt numFmtId="179" formatCode="&quot;$&quot;#,##0.000"/>
    <numFmt numFmtId="180" formatCode="&quot;$&quot;#,##0.0"/>
    <numFmt numFmtId="181" formatCode="_(* #,##0.0_);_(* \(#,##0.0\);_(* &quot;-&quot;?_);_(@_)"/>
    <numFmt numFmtId="182" formatCode="#,##0.0000000"/>
    <numFmt numFmtId="183" formatCode="#,##0.000000"/>
    <numFmt numFmtId="184" formatCode="#,##0.00000"/>
    <numFmt numFmtId="185" formatCode="#,##0.0000"/>
    <numFmt numFmtId="186" formatCode="#,##0.000"/>
    <numFmt numFmtId="187" formatCode="#,##0.0"/>
    <numFmt numFmtId="188" formatCode="_-[$$-409]* #,##0.00_ ;_-[$$-409]* \-#,##0.00\ ;_-[$$-409]* &quot;-&quot;??_ ;_-@_ "/>
    <numFmt numFmtId="189" formatCode="_-[$$-409]* #,##0.0_ ;_-[$$-409]* \-#,##0.0\ ;_-[$$-409]* &quot;-&quot;??_ ;_-@_ "/>
    <numFmt numFmtId="190" formatCode="_-[$$-409]* #,##0_ ;_-[$$-409]* \-#,##0\ ;_-[$$-409]* &quot;-&quot;??_ ;_-@_ "/>
    <numFmt numFmtId="191" formatCode="[$$-409]#,##0"/>
    <numFmt numFmtId="192" formatCode="General"/>
    <numFmt numFmtId="193" formatCode="0.0"/>
  </numFmts>
  <fonts count="26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gray0625">
        <fgColor indexed="8"/>
        <bgColor indexed="42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3" fillId="16" borderId="0" applyNumberFormat="0" applyBorder="0" applyAlignment="0" applyProtection="0"/>
    <xf numFmtId="0" fontId="14" fillId="11" borderId="1" applyNumberFormat="0" applyAlignment="0" applyProtection="0"/>
    <xf numFmtId="0" fontId="1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9" fillId="0" borderId="3" applyNumberFormat="0" applyFill="0" applyAlignment="0" applyProtection="0"/>
    <xf numFmtId="0" fontId="18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0" borderId="7" applyNumberFormat="0" applyFont="0" applyAlignment="0" applyProtection="0"/>
    <xf numFmtId="0" fontId="22" fillId="11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9" fontId="0" fillId="0" borderId="10" xfId="0" applyNumberFormat="1" applyBorder="1" applyAlignment="1">
      <alignment/>
    </xf>
    <xf numFmtId="0" fontId="0" fillId="0" borderId="17" xfId="0" applyFill="1" applyBorder="1" applyAlignment="1">
      <alignment horizontal="center" wrapText="1"/>
    </xf>
    <xf numFmtId="176" fontId="2" fillId="0" borderId="10" xfId="0" applyNumberFormat="1" applyFont="1" applyBorder="1" applyAlignment="1">
      <alignment/>
    </xf>
    <xf numFmtId="176" fontId="2" fillId="0" borderId="17" xfId="0" applyNumberFormat="1" applyFont="1" applyBorder="1" applyAlignment="1">
      <alignment/>
    </xf>
    <xf numFmtId="10" fontId="0" fillId="0" borderId="10" xfId="0" applyNumberFormat="1" applyFill="1" applyBorder="1" applyAlignment="1">
      <alignment horizontal="center"/>
    </xf>
    <xf numFmtId="176" fontId="0" fillId="0" borderId="18" xfId="0" applyNumberFormat="1" applyBorder="1" applyAlignment="1">
      <alignment/>
    </xf>
    <xf numFmtId="9" fontId="0" fillId="0" borderId="18" xfId="0" applyNumberForma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Fill="1" applyBorder="1" applyAlignment="1">
      <alignment horizontal="center"/>
    </xf>
    <xf numFmtId="176" fontId="0" fillId="0" borderId="10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10" fontId="2" fillId="18" borderId="21" xfId="0" applyNumberFormat="1" applyFont="1" applyFill="1" applyBorder="1" applyAlignment="1">
      <alignment horizontal="left"/>
    </xf>
    <xf numFmtId="10" fontId="0" fillId="18" borderId="10" xfId="0" applyNumberFormat="1" applyFill="1" applyBorder="1" applyAlignment="1">
      <alignment horizontal="left"/>
    </xf>
    <xf numFmtId="10" fontId="0" fillId="18" borderId="10" xfId="0" applyNumberFormat="1" applyFill="1" applyBorder="1" applyAlignment="1">
      <alignment horizontal="center"/>
    </xf>
    <xf numFmtId="0" fontId="0" fillId="18" borderId="10" xfId="0" applyFill="1" applyBorder="1" applyAlignment="1">
      <alignment horizontal="center" wrapText="1"/>
    </xf>
    <xf numFmtId="0" fontId="0" fillId="18" borderId="10" xfId="0" applyFill="1" applyBorder="1" applyAlignment="1">
      <alignment horizontal="center"/>
    </xf>
    <xf numFmtId="0" fontId="0" fillId="18" borderId="17" xfId="0" applyFill="1" applyBorder="1" applyAlignment="1">
      <alignment horizontal="center" wrapText="1"/>
    </xf>
    <xf numFmtId="0" fontId="2" fillId="18" borderId="11" xfId="0" applyFont="1" applyFill="1" applyBorder="1" applyAlignment="1">
      <alignment/>
    </xf>
    <xf numFmtId="176" fontId="2" fillId="18" borderId="10" xfId="0" applyNumberFormat="1" applyFont="1" applyFill="1" applyBorder="1" applyAlignment="1">
      <alignment/>
    </xf>
    <xf numFmtId="176" fontId="2" fillId="18" borderId="10" xfId="0" applyNumberFormat="1" applyFont="1" applyFill="1" applyBorder="1" applyAlignment="1">
      <alignment/>
    </xf>
    <xf numFmtId="9" fontId="0" fillId="18" borderId="10" xfId="0" applyNumberFormat="1" applyFill="1" applyBorder="1" applyAlignment="1">
      <alignment/>
    </xf>
    <xf numFmtId="176" fontId="2" fillId="18" borderId="17" xfId="0" applyNumberFormat="1" applyFont="1" applyFill="1" applyBorder="1" applyAlignment="1">
      <alignment/>
    </xf>
    <xf numFmtId="0" fontId="0" fillId="18" borderId="11" xfId="0" applyFont="1" applyFill="1" applyBorder="1" applyAlignment="1">
      <alignment/>
    </xf>
    <xf numFmtId="176" fontId="0" fillId="18" borderId="10" xfId="0" applyNumberFormat="1" applyFill="1" applyBorder="1" applyAlignment="1">
      <alignment/>
    </xf>
    <xf numFmtId="176" fontId="0" fillId="18" borderId="10" xfId="0" applyNumberFormat="1" applyFont="1" applyFill="1" applyBorder="1" applyAlignment="1">
      <alignment/>
    </xf>
    <xf numFmtId="176" fontId="0" fillId="18" borderId="17" xfId="0" applyNumberFormat="1" applyFont="1" applyFill="1" applyBorder="1" applyAlignment="1">
      <alignment/>
    </xf>
    <xf numFmtId="0" fontId="0" fillId="18" borderId="19" xfId="0" applyFont="1" applyFill="1" applyBorder="1" applyAlignment="1">
      <alignment/>
    </xf>
    <xf numFmtId="176" fontId="0" fillId="18" borderId="18" xfId="0" applyNumberFormat="1" applyFill="1" applyBorder="1" applyAlignment="1">
      <alignment/>
    </xf>
    <xf numFmtId="9" fontId="0" fillId="18" borderId="18" xfId="0" applyNumberFormat="1" applyFill="1" applyBorder="1" applyAlignment="1">
      <alignment/>
    </xf>
    <xf numFmtId="0" fontId="2" fillId="18" borderId="19" xfId="0" applyFont="1" applyFill="1" applyBorder="1" applyAlignment="1">
      <alignment/>
    </xf>
    <xf numFmtId="0" fontId="2" fillId="18" borderId="19" xfId="0" applyFont="1" applyFill="1" applyBorder="1" applyAlignment="1">
      <alignment/>
    </xf>
    <xf numFmtId="176" fontId="2" fillId="18" borderId="18" xfId="0" applyNumberFormat="1" applyFont="1" applyFill="1" applyBorder="1" applyAlignment="1">
      <alignment/>
    </xf>
    <xf numFmtId="176" fontId="0" fillId="3" borderId="18" xfId="0" applyNumberFormat="1" applyFill="1" applyBorder="1" applyAlignment="1">
      <alignment/>
    </xf>
    <xf numFmtId="9" fontId="0" fillId="3" borderId="18" xfId="0" applyNumberFormat="1" applyFill="1" applyBorder="1" applyAlignment="1">
      <alignment/>
    </xf>
    <xf numFmtId="0" fontId="0" fillId="3" borderId="19" xfId="0" applyFont="1" applyFill="1" applyBorder="1" applyAlignment="1">
      <alignment/>
    </xf>
    <xf numFmtId="176" fontId="0" fillId="3" borderId="10" xfId="0" applyNumberFormat="1" applyFont="1" applyFill="1" applyBorder="1" applyAlignment="1">
      <alignment/>
    </xf>
    <xf numFmtId="176" fontId="0" fillId="3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left" wrapText="1"/>
    </xf>
    <xf numFmtId="176" fontId="0" fillId="0" borderId="1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21" borderId="10" xfId="0" applyNumberFormat="1" applyFill="1" applyBorder="1" applyAlignment="1">
      <alignment/>
    </xf>
    <xf numFmtId="176" fontId="0" fillId="21" borderId="10" xfId="0" applyNumberFormat="1" applyFont="1" applyFill="1" applyBorder="1" applyAlignment="1">
      <alignment/>
    </xf>
    <xf numFmtId="176" fontId="0" fillId="21" borderId="17" xfId="0" applyNumberFormat="1" applyFont="1" applyFill="1" applyBorder="1" applyAlignment="1">
      <alignment/>
    </xf>
    <xf numFmtId="0" fontId="0" fillId="21" borderId="19" xfId="0" applyFont="1" applyFill="1" applyBorder="1" applyAlignment="1">
      <alignment/>
    </xf>
    <xf numFmtId="176" fontId="0" fillId="21" borderId="18" xfId="0" applyNumberFormat="1" applyFill="1" applyBorder="1" applyAlignment="1">
      <alignment/>
    </xf>
    <xf numFmtId="9" fontId="0" fillId="21" borderId="18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3" borderId="11" xfId="0" applyFont="1" applyFill="1" applyBorder="1" applyAlignment="1">
      <alignment/>
    </xf>
    <xf numFmtId="176" fontId="0" fillId="3" borderId="10" xfId="0" applyNumberFormat="1" applyFill="1" applyBorder="1" applyAlignment="1">
      <alignment/>
    </xf>
    <xf numFmtId="9" fontId="0" fillId="3" borderId="10" xfId="0" applyNumberFormat="1" applyFill="1" applyBorder="1" applyAlignment="1">
      <alignment/>
    </xf>
    <xf numFmtId="0" fontId="0" fillId="18" borderId="19" xfId="0" applyFont="1" applyFill="1" applyBorder="1" applyAlignment="1">
      <alignment/>
    </xf>
    <xf numFmtId="176" fontId="0" fillId="18" borderId="18" xfId="0" applyNumberFormat="1" applyFill="1" applyBorder="1" applyAlignment="1">
      <alignment/>
    </xf>
    <xf numFmtId="9" fontId="0" fillId="18" borderId="18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18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21" borderId="10" xfId="0" applyFill="1" applyBorder="1" applyAlignment="1">
      <alignment/>
    </xf>
    <xf numFmtId="0" fontId="0" fillId="22" borderId="10" xfId="0" applyFill="1" applyBorder="1" applyAlignment="1">
      <alignment/>
    </xf>
    <xf numFmtId="176" fontId="0" fillId="22" borderId="10" xfId="0" applyNumberFormat="1" applyFill="1" applyBorder="1" applyAlignment="1">
      <alignment/>
    </xf>
    <xf numFmtId="0" fontId="2" fillId="0" borderId="11" xfId="0" applyFont="1" applyBorder="1" applyAlignment="1">
      <alignment/>
    </xf>
    <xf numFmtId="0" fontId="2" fillId="18" borderId="11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21" borderId="11" xfId="0" applyFont="1" applyFill="1" applyBorder="1" applyAlignment="1">
      <alignment/>
    </xf>
    <xf numFmtId="0" fontId="2" fillId="22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22" xfId="0" applyFill="1" applyBorder="1" applyAlignment="1">
      <alignment/>
    </xf>
    <xf numFmtId="176" fontId="0" fillId="0" borderId="22" xfId="0" applyNumberFormat="1" applyFill="1" applyBorder="1" applyAlignment="1">
      <alignment/>
    </xf>
    <xf numFmtId="0" fontId="2" fillId="0" borderId="23" xfId="0" applyFont="1" applyFill="1" applyBorder="1" applyAlignment="1">
      <alignment/>
    </xf>
    <xf numFmtId="191" fontId="2" fillId="18" borderId="17" xfId="0" applyNumberFormat="1" applyFont="1" applyFill="1" applyBorder="1" applyAlignment="1">
      <alignment/>
    </xf>
    <xf numFmtId="191" fontId="2" fillId="3" borderId="17" xfId="0" applyNumberFormat="1" applyFont="1" applyFill="1" applyBorder="1" applyAlignment="1">
      <alignment/>
    </xf>
    <xf numFmtId="191" fontId="2" fillId="21" borderId="17" xfId="0" applyNumberFormat="1" applyFont="1" applyFill="1" applyBorder="1" applyAlignment="1">
      <alignment/>
    </xf>
    <xf numFmtId="191" fontId="2" fillId="22" borderId="17" xfId="0" applyNumberFormat="1" applyFont="1" applyFill="1" applyBorder="1" applyAlignment="1">
      <alignment/>
    </xf>
    <xf numFmtId="191" fontId="2" fillId="0" borderId="17" xfId="0" applyNumberFormat="1" applyFont="1" applyFill="1" applyBorder="1" applyAlignment="1">
      <alignment/>
    </xf>
    <xf numFmtId="191" fontId="2" fillId="0" borderId="24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23" borderId="11" xfId="0" applyFont="1" applyFill="1" applyBorder="1" applyAlignment="1">
      <alignment/>
    </xf>
    <xf numFmtId="176" fontId="0" fillId="23" borderId="10" xfId="0" applyNumberFormat="1" applyFill="1" applyBorder="1" applyAlignment="1">
      <alignment/>
    </xf>
    <xf numFmtId="176" fontId="0" fillId="23" borderId="10" xfId="0" applyNumberFormat="1" applyFont="1" applyFill="1" applyBorder="1" applyAlignment="1">
      <alignment/>
    </xf>
    <xf numFmtId="9" fontId="0" fillId="23" borderId="10" xfId="0" applyNumberFormat="1" applyFill="1" applyBorder="1" applyAlignment="1">
      <alignment/>
    </xf>
    <xf numFmtId="176" fontId="0" fillId="23" borderId="17" xfId="0" applyNumberFormat="1" applyFont="1" applyFill="1" applyBorder="1" applyAlignment="1">
      <alignment/>
    </xf>
    <xf numFmtId="0" fontId="0" fillId="24" borderId="11" xfId="0" applyFont="1" applyFill="1" applyBorder="1" applyAlignment="1">
      <alignment/>
    </xf>
    <xf numFmtId="176" fontId="0" fillId="24" borderId="10" xfId="0" applyNumberFormat="1" applyFill="1" applyBorder="1" applyAlignment="1">
      <alignment/>
    </xf>
    <xf numFmtId="9" fontId="0" fillId="24" borderId="10" xfId="0" applyNumberFormat="1" applyFill="1" applyBorder="1" applyAlignment="1">
      <alignment/>
    </xf>
    <xf numFmtId="0" fontId="0" fillId="25" borderId="19" xfId="0" applyFont="1" applyFill="1" applyBorder="1" applyAlignment="1">
      <alignment/>
    </xf>
    <xf numFmtId="176" fontId="0" fillId="25" borderId="18" xfId="0" applyNumberFormat="1" applyFill="1" applyBorder="1" applyAlignment="1">
      <alignment/>
    </xf>
    <xf numFmtId="176" fontId="0" fillId="25" borderId="10" xfId="0" applyNumberFormat="1" applyFont="1" applyFill="1" applyBorder="1" applyAlignment="1">
      <alignment/>
    </xf>
    <xf numFmtId="9" fontId="0" fillId="25" borderId="18" xfId="0" applyNumberFormat="1" applyFill="1" applyBorder="1" applyAlignment="1">
      <alignment/>
    </xf>
    <xf numFmtId="176" fontId="0" fillId="25" borderId="17" xfId="0" applyNumberFormat="1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0" fillId="25" borderId="10" xfId="0" applyFill="1" applyBorder="1" applyAlignment="1">
      <alignment/>
    </xf>
    <xf numFmtId="176" fontId="0" fillId="25" borderId="10" xfId="0" applyNumberFormat="1" applyFill="1" applyBorder="1" applyAlignment="1">
      <alignment/>
    </xf>
    <xf numFmtId="191" fontId="2" fillId="25" borderId="17" xfId="0" applyNumberFormat="1" applyFont="1" applyFill="1" applyBorder="1" applyAlignment="1">
      <alignment/>
    </xf>
    <xf numFmtId="176" fontId="0" fillId="23" borderId="18" xfId="0" applyNumberFormat="1" applyFill="1" applyBorder="1" applyAlignment="1">
      <alignment/>
    </xf>
    <xf numFmtId="193" fontId="0" fillId="18" borderId="10" xfId="0" applyNumberFormat="1" applyFill="1" applyBorder="1" applyAlignment="1">
      <alignment horizontal="left"/>
    </xf>
    <xf numFmtId="193" fontId="2" fillId="18" borderId="10" xfId="0" applyNumberFormat="1" applyFont="1" applyFill="1" applyBorder="1" applyAlignment="1">
      <alignment/>
    </xf>
    <xf numFmtId="193" fontId="0" fillId="18" borderId="10" xfId="0" applyNumberFormat="1" applyFill="1" applyBorder="1" applyAlignment="1">
      <alignment/>
    </xf>
    <xf numFmtId="193" fontId="0" fillId="25" borderId="10" xfId="0" applyNumberFormat="1" applyFill="1" applyBorder="1" applyAlignment="1">
      <alignment/>
    </xf>
    <xf numFmtId="193" fontId="0" fillId="3" borderId="10" xfId="0" applyNumberFormat="1" applyFill="1" applyBorder="1" applyAlignment="1">
      <alignment/>
    </xf>
    <xf numFmtId="193" fontId="0" fillId="18" borderId="18" xfId="0" applyNumberFormat="1" applyFill="1" applyBorder="1" applyAlignment="1">
      <alignment/>
    </xf>
    <xf numFmtId="193" fontId="0" fillId="25" borderId="18" xfId="0" applyNumberFormat="1" applyFill="1" applyBorder="1" applyAlignment="1">
      <alignment/>
    </xf>
    <xf numFmtId="193" fontId="0" fillId="3" borderId="18" xfId="0" applyNumberFormat="1" applyFill="1" applyBorder="1" applyAlignment="1">
      <alignment/>
    </xf>
    <xf numFmtId="193" fontId="0" fillId="0" borderId="18" xfId="0" applyNumberFormat="1" applyBorder="1" applyAlignment="1">
      <alignment/>
    </xf>
    <xf numFmtId="193" fontId="2" fillId="18" borderId="18" xfId="0" applyNumberFormat="1" applyFont="1" applyFill="1" applyBorder="1" applyAlignment="1">
      <alignment/>
    </xf>
    <xf numFmtId="193" fontId="0" fillId="21" borderId="18" xfId="0" applyNumberFormat="1" applyFill="1" applyBorder="1" applyAlignment="1">
      <alignment/>
    </xf>
    <xf numFmtId="193" fontId="0" fillId="23" borderId="18" xfId="0" applyNumberFormat="1" applyFill="1" applyBorder="1" applyAlignment="1">
      <alignment/>
    </xf>
    <xf numFmtId="193" fontId="0" fillId="0" borderId="10" xfId="0" applyNumberFormat="1" applyBorder="1" applyAlignment="1">
      <alignment/>
    </xf>
    <xf numFmtId="193" fontId="0" fillId="21" borderId="10" xfId="0" applyNumberFormat="1" applyFill="1" applyBorder="1" applyAlignment="1">
      <alignment/>
    </xf>
    <xf numFmtId="193" fontId="0" fillId="22" borderId="10" xfId="0" applyNumberFormat="1" applyFill="1" applyBorder="1" applyAlignment="1">
      <alignment/>
    </xf>
    <xf numFmtId="193" fontId="0" fillId="0" borderId="10" xfId="0" applyNumberFormat="1" applyFill="1" applyBorder="1" applyAlignment="1">
      <alignment/>
    </xf>
    <xf numFmtId="193" fontId="0" fillId="0" borderId="22" xfId="0" applyNumberFormat="1" applyFill="1" applyBorder="1" applyAlignment="1">
      <alignment/>
    </xf>
    <xf numFmtId="176" fontId="0" fillId="26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intosh%20HDUsers\jdfox\Downloads\2GBC\Users\ruben\AppData\Local\Temp\ITER%20EOI%20Estimate%20Template%20-%20v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Lists"/>
      <sheetName val="Operating"/>
    </sheetNames>
    <sheetDataSet>
      <sheetData sheetId="1">
        <row r="3">
          <cell r="A3" t="str">
            <v>Cryo System</v>
          </cell>
          <cell r="C3" t="str">
            <v>Design</v>
          </cell>
          <cell r="E3" t="str">
            <v>Vendor quote</v>
          </cell>
        </row>
        <row r="4">
          <cell r="A4" t="str">
            <v>Power System</v>
          </cell>
          <cell r="C4" t="str">
            <v>Procurement</v>
          </cell>
          <cell r="E4" t="str">
            <v>Prior procurement</v>
          </cell>
        </row>
        <row r="5">
          <cell r="A5" t="str">
            <v>Test Cryostat</v>
          </cell>
          <cell r="C5" t="str">
            <v>Fabrication</v>
          </cell>
          <cell r="E5" t="str">
            <v>Past experience</v>
          </cell>
        </row>
        <row r="6">
          <cell r="A6" t="str">
            <v>DAQ and Controls</v>
          </cell>
          <cell r="C6" t="str">
            <v>Installation</v>
          </cell>
          <cell r="E6" t="str">
            <v>Engr. estimate</v>
          </cell>
        </row>
        <row r="7">
          <cell r="A7" t="str">
            <v>Quench Protection</v>
          </cell>
          <cell r="C7" t="str">
            <v>Modifications</v>
          </cell>
        </row>
        <row r="8">
          <cell r="C8" t="str">
            <v>Commissioning</v>
          </cell>
        </row>
        <row r="9">
          <cell r="C9" t="str">
            <v>Removal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92"/>
  <sheetViews>
    <sheetView tabSelected="1" workbookViewId="0" topLeftCell="E32">
      <selection activeCell="F55" sqref="F55"/>
    </sheetView>
  </sheetViews>
  <sheetFormatPr defaultColWidth="8.8515625" defaultRowHeight="15"/>
  <cols>
    <col min="1" max="1" width="8.8515625" style="0" customWidth="1"/>
    <col min="2" max="2" width="75.8515625" style="0" bestFit="1" customWidth="1"/>
    <col min="3" max="3" width="12.00390625" style="0" bestFit="1" customWidth="1"/>
    <col min="4" max="4" width="19.140625" style="0" bestFit="1" customWidth="1"/>
    <col min="5" max="5" width="20.00390625" style="0" customWidth="1"/>
    <col min="6" max="9" width="9.8515625" style="0" bestFit="1" customWidth="1"/>
    <col min="10" max="10" width="16.140625" style="0" bestFit="1" customWidth="1"/>
    <col min="11" max="11" width="12.8515625" style="0" bestFit="1" customWidth="1"/>
    <col min="12" max="13" width="6.8515625" style="0" bestFit="1" customWidth="1"/>
    <col min="14" max="14" width="13.00390625" style="0" customWidth="1"/>
    <col min="15" max="15" width="12.28125" style="0" customWidth="1"/>
    <col min="16" max="16" width="18.00390625" style="0" bestFit="1" customWidth="1"/>
    <col min="17" max="18" width="10.421875" style="0" bestFit="1" customWidth="1"/>
  </cols>
  <sheetData>
    <row r="3" ht="3" customHeight="1" thickBot="1"/>
    <row r="4" spans="2:16" ht="15.75" thickTop="1">
      <c r="B4" s="5"/>
      <c r="C4" s="97" t="s">
        <v>0</v>
      </c>
      <c r="D4" s="98"/>
      <c r="E4" s="98"/>
      <c r="F4" s="98"/>
      <c r="G4" s="98"/>
      <c r="H4" s="98"/>
      <c r="I4" s="98"/>
      <c r="J4" s="98"/>
      <c r="K4" s="98"/>
      <c r="L4" s="99"/>
      <c r="M4" s="6"/>
      <c r="N4" s="6"/>
      <c r="O4" s="6"/>
      <c r="P4" s="7"/>
    </row>
    <row r="5" spans="2:16" ht="63" customHeight="1">
      <c r="B5" s="8"/>
      <c r="C5" s="100"/>
      <c r="D5" s="101"/>
      <c r="E5" s="101"/>
      <c r="F5" s="101"/>
      <c r="G5" s="101"/>
      <c r="H5" s="101"/>
      <c r="I5" s="101"/>
      <c r="J5" s="101"/>
      <c r="K5" s="101"/>
      <c r="L5" s="102"/>
      <c r="M5" s="2"/>
      <c r="N5" s="2"/>
      <c r="O5" s="2"/>
      <c r="P5" s="9"/>
    </row>
    <row r="6" spans="2:16" ht="63" customHeight="1">
      <c r="B6" s="8"/>
      <c r="C6" s="103" t="s">
        <v>24</v>
      </c>
      <c r="D6" s="103"/>
      <c r="E6" s="103"/>
      <c r="F6" s="103"/>
      <c r="G6" s="103"/>
      <c r="H6" s="103"/>
      <c r="I6" s="103"/>
      <c r="J6" s="103"/>
      <c r="K6" s="103"/>
      <c r="L6" s="103"/>
      <c r="M6" s="2"/>
      <c r="N6" s="2"/>
      <c r="O6" s="2"/>
      <c r="P6" s="9"/>
    </row>
    <row r="7" spans="2:19" ht="15">
      <c r="B7" s="3"/>
      <c r="C7" s="55"/>
      <c r="D7" s="55"/>
      <c r="E7" s="55"/>
      <c r="F7" s="55" t="s">
        <v>38</v>
      </c>
      <c r="G7" s="55" t="s">
        <v>38</v>
      </c>
      <c r="H7" s="55"/>
      <c r="I7" s="55"/>
      <c r="J7" s="55"/>
      <c r="K7" s="55" t="s">
        <v>39</v>
      </c>
      <c r="L7" s="55"/>
      <c r="M7" s="55"/>
      <c r="N7" s="55"/>
      <c r="O7" s="22" t="s">
        <v>40</v>
      </c>
      <c r="P7" s="22"/>
      <c r="Q7" s="22"/>
      <c r="R7" s="64"/>
      <c r="S7" s="2"/>
    </row>
    <row r="8" spans="2:18" ht="60">
      <c r="B8" s="3"/>
      <c r="C8" s="1" t="s">
        <v>12</v>
      </c>
      <c r="D8" s="1" t="s">
        <v>32</v>
      </c>
      <c r="E8" s="1" t="s">
        <v>9</v>
      </c>
      <c r="F8" s="1" t="s">
        <v>70</v>
      </c>
      <c r="G8" s="1" t="s">
        <v>71</v>
      </c>
      <c r="H8" s="1" t="s">
        <v>72</v>
      </c>
      <c r="I8" s="1" t="s">
        <v>73</v>
      </c>
      <c r="J8" s="1" t="s">
        <v>74</v>
      </c>
      <c r="K8" s="1" t="s">
        <v>16</v>
      </c>
      <c r="L8" s="1" t="s">
        <v>17</v>
      </c>
      <c r="M8" s="1" t="s">
        <v>18</v>
      </c>
      <c r="N8" s="1" t="s">
        <v>19</v>
      </c>
      <c r="O8" s="1" t="s">
        <v>20</v>
      </c>
      <c r="P8" s="4" t="s">
        <v>21</v>
      </c>
      <c r="Q8" s="18" t="s">
        <v>23</v>
      </c>
      <c r="R8" s="11" t="s">
        <v>22</v>
      </c>
    </row>
    <row r="9" spans="2:18" ht="15">
      <c r="B9" s="3" t="s">
        <v>25</v>
      </c>
      <c r="C9" s="14"/>
      <c r="D9" s="14"/>
      <c r="E9" s="14"/>
      <c r="F9" s="14">
        <v>0.027</v>
      </c>
      <c r="G9" s="14">
        <v>0.0547</v>
      </c>
      <c r="H9" s="14">
        <v>0.0832</v>
      </c>
      <c r="I9" s="14">
        <v>0.1124</v>
      </c>
      <c r="J9" s="14">
        <v>0.1424</v>
      </c>
      <c r="K9" s="14">
        <v>0.1732</v>
      </c>
      <c r="L9" s="14">
        <v>0.2049</v>
      </c>
      <c r="M9" s="14">
        <v>0.2374</v>
      </c>
      <c r="N9" s="14">
        <v>0.2708</v>
      </c>
      <c r="O9" s="14">
        <v>0.3051</v>
      </c>
      <c r="P9" s="4"/>
      <c r="Q9" s="1"/>
      <c r="R9" s="11"/>
    </row>
    <row r="10" spans="2:18" ht="15">
      <c r="B10" s="3" t="s">
        <v>26</v>
      </c>
      <c r="C10" s="14"/>
      <c r="D10" s="14"/>
      <c r="E10" s="14"/>
      <c r="F10" s="14">
        <v>0.008</v>
      </c>
      <c r="G10" s="14">
        <v>0.0282</v>
      </c>
      <c r="H10" s="14">
        <v>0.0539</v>
      </c>
      <c r="I10" s="14">
        <v>0.0802</v>
      </c>
      <c r="J10" s="14">
        <v>0.1072</v>
      </c>
      <c r="K10" s="14">
        <v>0.1349</v>
      </c>
      <c r="L10" s="14">
        <v>0.1633</v>
      </c>
      <c r="M10" s="14">
        <v>0.1924</v>
      </c>
      <c r="N10" s="14">
        <v>0.2216</v>
      </c>
      <c r="O10" s="14">
        <v>0.2527</v>
      </c>
      <c r="P10" s="4"/>
      <c r="Q10" s="1"/>
      <c r="R10" s="11"/>
    </row>
    <row r="11" spans="1:18" ht="15">
      <c r="A11" s="9"/>
      <c r="B11" s="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4"/>
      <c r="Q11" s="1"/>
      <c r="R11" s="11"/>
    </row>
    <row r="12" spans="1:18" ht="15">
      <c r="A12" s="9"/>
      <c r="B12" s="25" t="s">
        <v>43</v>
      </c>
      <c r="C12" s="122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29"/>
      <c r="R12" s="30"/>
    </row>
    <row r="13" spans="2:18" ht="15">
      <c r="B13" s="31" t="s">
        <v>27</v>
      </c>
      <c r="C13" s="123"/>
      <c r="D13" s="32">
        <f>SUM(D14:D18)</f>
        <v>247500</v>
      </c>
      <c r="E13" s="32">
        <f>SUM(E14:E18)</f>
        <v>378675</v>
      </c>
      <c r="F13" s="32">
        <f>SUM(F14:F18)</f>
        <v>20540</v>
      </c>
      <c r="G13" s="32">
        <f>SUM(G14:G18)</f>
        <v>306601.29000000004</v>
      </c>
      <c r="H13" s="32">
        <f>SUM(H14:H18)</f>
        <v>145013.4</v>
      </c>
      <c r="I13" s="32"/>
      <c r="J13" s="32"/>
      <c r="K13" s="32"/>
      <c r="L13" s="32"/>
      <c r="M13" s="32"/>
      <c r="N13" s="32"/>
      <c r="O13" s="32"/>
      <c r="P13" s="33">
        <f>SUM(F13:O13)</f>
        <v>472154.69000000006</v>
      </c>
      <c r="Q13" s="34"/>
      <c r="R13" s="35">
        <f>SUM(R14:R18)</f>
        <v>626534.6808875</v>
      </c>
    </row>
    <row r="14" spans="2:18" ht="15">
      <c r="B14" s="36" t="s">
        <v>35</v>
      </c>
      <c r="C14" s="124"/>
      <c r="D14" s="37">
        <f>25000</f>
        <v>25000</v>
      </c>
      <c r="E14" s="37">
        <f>D14*(1+$C$63)</f>
        <v>38250</v>
      </c>
      <c r="F14" s="37">
        <v>0</v>
      </c>
      <c r="G14" s="37">
        <f>E14*(1+$G$9)</f>
        <v>40342.275</v>
      </c>
      <c r="H14" s="37">
        <f>E14*(1+$H$9)</f>
        <v>41432.399999999994</v>
      </c>
      <c r="I14" s="37"/>
      <c r="J14" s="37"/>
      <c r="K14" s="37"/>
      <c r="L14" s="37"/>
      <c r="M14" s="37"/>
      <c r="N14" s="37"/>
      <c r="O14" s="37"/>
      <c r="P14" s="38">
        <f aca="true" t="shared" si="0" ref="P14:P46">SUM(F14:O14)</f>
        <v>81774.67499999999</v>
      </c>
      <c r="Q14" s="34">
        <v>0.325</v>
      </c>
      <c r="R14" s="39">
        <f>P14+(P14*Q14)</f>
        <v>108351.44437499999</v>
      </c>
    </row>
    <row r="15" spans="2:18" ht="15">
      <c r="B15" s="36" t="s">
        <v>34</v>
      </c>
      <c r="C15" s="124"/>
      <c r="D15" s="37">
        <f>25000</f>
        <v>25000</v>
      </c>
      <c r="E15" s="37">
        <f>D15*(1+$C$63)</f>
        <v>38250</v>
      </c>
      <c r="F15" s="37">
        <v>0</v>
      </c>
      <c r="G15" s="37">
        <f>E15*(1+$G$9)</f>
        <v>40342.275</v>
      </c>
      <c r="H15" s="37">
        <f>E15*(1+$H$9)</f>
        <v>41432.399999999994</v>
      </c>
      <c r="I15" s="37"/>
      <c r="J15" s="37"/>
      <c r="K15" s="37"/>
      <c r="L15" s="37"/>
      <c r="M15" s="37"/>
      <c r="N15" s="37"/>
      <c r="O15" s="37"/>
      <c r="P15" s="38">
        <f t="shared" si="0"/>
        <v>81774.67499999999</v>
      </c>
      <c r="Q15" s="34">
        <v>0.325</v>
      </c>
      <c r="R15" s="39">
        <f aca="true" t="shared" si="1" ref="R15:R46">P15+(P15*Q15)</f>
        <v>108351.44437499999</v>
      </c>
    </row>
    <row r="16" spans="2:18" ht="15">
      <c r="B16" s="104" t="s">
        <v>41</v>
      </c>
      <c r="C16" s="124"/>
      <c r="D16" s="105">
        <v>75000</v>
      </c>
      <c r="E16" s="37">
        <f>D16*(1+$C$63)</f>
        <v>114750</v>
      </c>
      <c r="F16" s="105">
        <v>0</v>
      </c>
      <c r="G16" s="37">
        <f>0.5*E16*(1+$G$9)</f>
        <v>60513.4125</v>
      </c>
      <c r="H16" s="37">
        <f>0.5*E16*(1+$H$9)</f>
        <v>62148.6</v>
      </c>
      <c r="I16" s="105"/>
      <c r="J16" s="105"/>
      <c r="K16" s="105"/>
      <c r="L16" s="105"/>
      <c r="M16" s="105"/>
      <c r="N16" s="105"/>
      <c r="O16" s="105"/>
      <c r="P16" s="106">
        <f t="shared" si="0"/>
        <v>122662.0125</v>
      </c>
      <c r="Q16" s="107">
        <v>0.325</v>
      </c>
      <c r="R16" s="108">
        <f>P16+(P16*Q16)</f>
        <v>162527.1665625</v>
      </c>
    </row>
    <row r="17" spans="2:18" ht="15">
      <c r="B17" s="109" t="s">
        <v>7</v>
      </c>
      <c r="C17" s="125"/>
      <c r="D17" s="110">
        <v>22500</v>
      </c>
      <c r="E17" s="119">
        <f>D17*(1+$C$63)</f>
        <v>34425</v>
      </c>
      <c r="F17" s="110">
        <v>0</v>
      </c>
      <c r="G17" s="119">
        <f>E17*(1+$G$9)</f>
        <v>36308.0475</v>
      </c>
      <c r="H17" s="119">
        <v>0</v>
      </c>
      <c r="I17" s="110"/>
      <c r="J17" s="110"/>
      <c r="K17" s="110"/>
      <c r="L17" s="110"/>
      <c r="M17" s="110"/>
      <c r="N17" s="110"/>
      <c r="O17" s="110"/>
      <c r="P17" s="114">
        <f>SUM(F17:O17)</f>
        <v>36308.0475</v>
      </c>
      <c r="Q17" s="111">
        <v>0.33</v>
      </c>
      <c r="R17" s="116">
        <f>P17+(P17*Q17)</f>
        <v>48289.703175</v>
      </c>
    </row>
    <row r="18" spans="2:18" ht="15">
      <c r="B18" s="65" t="s">
        <v>31</v>
      </c>
      <c r="C18" s="126"/>
      <c r="D18" s="66">
        <v>100000</v>
      </c>
      <c r="E18" s="66">
        <f>D18*(1+$C$63)</f>
        <v>153000</v>
      </c>
      <c r="F18" s="66">
        <f>0.2*($D$18+($D$18*F9))</f>
        <v>20540</v>
      </c>
      <c r="G18" s="66">
        <f>0.8*E18*(1+$G$9)</f>
        <v>129095.28</v>
      </c>
      <c r="H18" s="66">
        <v>0</v>
      </c>
      <c r="I18" s="66"/>
      <c r="J18" s="66"/>
      <c r="K18" s="66"/>
      <c r="L18" s="66"/>
      <c r="M18" s="66"/>
      <c r="N18" s="66"/>
      <c r="O18" s="66"/>
      <c r="P18" s="49">
        <f>SUM(F18:O18)</f>
        <v>149635.28</v>
      </c>
      <c r="Q18" s="67">
        <v>0.33</v>
      </c>
      <c r="R18" s="50">
        <f>P18+(P18*Q18)</f>
        <v>199014.9224</v>
      </c>
    </row>
    <row r="19" spans="2:18" ht="15">
      <c r="B19" s="31" t="s">
        <v>33</v>
      </c>
      <c r="C19" s="123"/>
      <c r="D19" s="32">
        <f>SUM(D20:D28)</f>
        <v>658000</v>
      </c>
      <c r="E19" s="32">
        <f>SUM(E20:E28)</f>
        <v>1250200</v>
      </c>
      <c r="F19" s="32">
        <f>SUM(F20:F28)</f>
        <v>1260201.6</v>
      </c>
      <c r="G19" s="32">
        <f>SUM(G20:G28)</f>
        <v>1285455.6400000001</v>
      </c>
      <c r="H19" s="32"/>
      <c r="I19" s="32"/>
      <c r="J19" s="32"/>
      <c r="K19" s="32"/>
      <c r="L19" s="32"/>
      <c r="M19" s="32"/>
      <c r="N19" s="32"/>
      <c r="O19" s="32"/>
      <c r="P19" s="33">
        <f>SUM(F19:O19)</f>
        <v>2545657.24</v>
      </c>
      <c r="Q19" s="34"/>
      <c r="R19" s="35">
        <f>SUM(R20:R28)</f>
        <v>2545657.24</v>
      </c>
    </row>
    <row r="20" spans="2:18" ht="15">
      <c r="B20" s="40" t="s">
        <v>57</v>
      </c>
      <c r="C20" s="127">
        <v>1.7</v>
      </c>
      <c r="D20" s="41">
        <f>C20*C57</f>
        <v>268600</v>
      </c>
      <c r="E20" s="69">
        <f>(1+$C$63+$C$64)*D20</f>
        <v>510340</v>
      </c>
      <c r="F20" s="41">
        <f>E20*(1+$F$10)</f>
        <v>514422.72000000003</v>
      </c>
      <c r="G20" s="41">
        <f>E20*(1+$G$10)</f>
        <v>524731.588</v>
      </c>
      <c r="H20" s="41"/>
      <c r="I20" s="41"/>
      <c r="J20" s="41"/>
      <c r="K20" s="41"/>
      <c r="L20" s="41"/>
      <c r="M20" s="41"/>
      <c r="N20" s="41"/>
      <c r="O20" s="41"/>
      <c r="P20" s="38">
        <f>SUM(F20:O20)</f>
        <v>1039154.308</v>
      </c>
      <c r="Q20" s="42">
        <v>0</v>
      </c>
      <c r="R20" s="39">
        <f t="shared" si="1"/>
        <v>1039154.308</v>
      </c>
    </row>
    <row r="21" spans="2:18" ht="15">
      <c r="B21" s="68" t="s">
        <v>61</v>
      </c>
      <c r="C21" s="127">
        <v>0.7</v>
      </c>
      <c r="D21" s="69">
        <f>C21*C58</f>
        <v>102900</v>
      </c>
      <c r="E21" s="69">
        <f aca="true" t="shared" si="2" ref="E21:E28">(1+$C$63+$C$64)*D21</f>
        <v>195510</v>
      </c>
      <c r="F21" s="69">
        <f aca="true" t="shared" si="3" ref="F21:F28">E21*(1+$F$10)</f>
        <v>197074.08</v>
      </c>
      <c r="G21" s="69">
        <f aca="true" t="shared" si="4" ref="G21:G28">E21*(1+$G$10)</f>
        <v>201023.382</v>
      </c>
      <c r="H21" s="41"/>
      <c r="I21" s="41"/>
      <c r="J21" s="41"/>
      <c r="K21" s="41"/>
      <c r="L21" s="41"/>
      <c r="M21" s="41"/>
      <c r="N21" s="41"/>
      <c r="O21" s="41"/>
      <c r="P21" s="38">
        <f>SUM(F21:O21)</f>
        <v>398097.462</v>
      </c>
      <c r="Q21" s="42">
        <v>0</v>
      </c>
      <c r="R21" s="39">
        <f t="shared" si="1"/>
        <v>398097.462</v>
      </c>
    </row>
    <row r="22" spans="2:18" ht="15">
      <c r="B22" s="68" t="s">
        <v>13</v>
      </c>
      <c r="C22" s="127">
        <v>0</v>
      </c>
      <c r="D22" s="69">
        <f>C22*C59</f>
        <v>0</v>
      </c>
      <c r="E22" s="69">
        <f t="shared" si="2"/>
        <v>0</v>
      </c>
      <c r="F22" s="69">
        <f t="shared" si="3"/>
        <v>0</v>
      </c>
      <c r="G22" s="69">
        <f t="shared" si="4"/>
        <v>0</v>
      </c>
      <c r="H22" s="69"/>
      <c r="I22" s="69"/>
      <c r="J22" s="69"/>
      <c r="K22" s="69"/>
      <c r="L22" s="69"/>
      <c r="M22" s="69"/>
      <c r="N22" s="69"/>
      <c r="O22" s="69"/>
      <c r="P22" s="38">
        <f t="shared" si="0"/>
        <v>0</v>
      </c>
      <c r="Q22" s="70">
        <v>0</v>
      </c>
      <c r="R22" s="39">
        <f t="shared" si="1"/>
        <v>0</v>
      </c>
    </row>
    <row r="23" spans="2:18" ht="15">
      <c r="B23" s="40" t="s">
        <v>55</v>
      </c>
      <c r="C23" s="127">
        <v>2</v>
      </c>
      <c r="D23" s="69">
        <f>C23*C60*0.5</f>
        <v>50000</v>
      </c>
      <c r="E23" s="69">
        <f t="shared" si="2"/>
        <v>95000</v>
      </c>
      <c r="F23" s="69">
        <f t="shared" si="3"/>
        <v>95760</v>
      </c>
      <c r="G23" s="69">
        <f t="shared" si="4"/>
        <v>97679</v>
      </c>
      <c r="H23" s="69"/>
      <c r="I23" s="41"/>
      <c r="J23" s="41"/>
      <c r="K23" s="41"/>
      <c r="L23" s="41"/>
      <c r="M23" s="41"/>
      <c r="N23" s="41"/>
      <c r="O23" s="41"/>
      <c r="P23" s="38">
        <f t="shared" si="0"/>
        <v>193439</v>
      </c>
      <c r="Q23" s="42">
        <v>0</v>
      </c>
      <c r="R23" s="39">
        <f t="shared" si="1"/>
        <v>193439</v>
      </c>
    </row>
    <row r="24" spans="2:18" ht="15">
      <c r="B24" s="112" t="s">
        <v>56</v>
      </c>
      <c r="C24" s="128">
        <v>0.3</v>
      </c>
      <c r="D24" s="113">
        <f>C24*C57</f>
        <v>47400</v>
      </c>
      <c r="E24" s="113">
        <f t="shared" si="2"/>
        <v>90060</v>
      </c>
      <c r="F24" s="113">
        <f t="shared" si="3"/>
        <v>90780.48</v>
      </c>
      <c r="G24" s="113">
        <f t="shared" si="4"/>
        <v>92599.692</v>
      </c>
      <c r="H24" s="113"/>
      <c r="I24" s="113"/>
      <c r="J24" s="113"/>
      <c r="K24" s="113"/>
      <c r="L24" s="113"/>
      <c r="M24" s="113"/>
      <c r="N24" s="113"/>
      <c r="O24" s="113"/>
      <c r="P24" s="114">
        <f>SUM(F24:O24)</f>
        <v>183380.172</v>
      </c>
      <c r="Q24" s="115">
        <v>0</v>
      </c>
      <c r="R24" s="116">
        <f>P24+(P24*Q24)</f>
        <v>183380.172</v>
      </c>
    </row>
    <row r="25" spans="2:18" ht="15">
      <c r="B25" s="112" t="s">
        <v>58</v>
      </c>
      <c r="C25" s="128">
        <v>0.3</v>
      </c>
      <c r="D25" s="113">
        <f>C25*C58</f>
        <v>44100</v>
      </c>
      <c r="E25" s="113">
        <f t="shared" si="2"/>
        <v>83790</v>
      </c>
      <c r="F25" s="113">
        <f t="shared" si="3"/>
        <v>84460.32</v>
      </c>
      <c r="G25" s="113">
        <f t="shared" si="4"/>
        <v>86152.878</v>
      </c>
      <c r="H25" s="113"/>
      <c r="I25" s="113"/>
      <c r="J25" s="113"/>
      <c r="K25" s="113"/>
      <c r="L25" s="113"/>
      <c r="M25" s="113"/>
      <c r="N25" s="113"/>
      <c r="O25" s="113"/>
      <c r="P25" s="114">
        <f>SUM(F25:O25)</f>
        <v>170613.198</v>
      </c>
      <c r="Q25" s="115">
        <v>0</v>
      </c>
      <c r="R25" s="116">
        <f>P25+(P25*Q25)</f>
        <v>170613.198</v>
      </c>
    </row>
    <row r="26" spans="2:18" ht="15">
      <c r="B26" s="112" t="s">
        <v>14</v>
      </c>
      <c r="C26" s="128">
        <v>0</v>
      </c>
      <c r="D26" s="113">
        <f>C26*C59</f>
        <v>0</v>
      </c>
      <c r="E26" s="113">
        <f t="shared" si="2"/>
        <v>0</v>
      </c>
      <c r="F26" s="113">
        <f t="shared" si="3"/>
        <v>0</v>
      </c>
      <c r="G26" s="113">
        <f t="shared" si="4"/>
        <v>0</v>
      </c>
      <c r="H26" s="113"/>
      <c r="I26" s="113"/>
      <c r="J26" s="113"/>
      <c r="K26" s="113"/>
      <c r="L26" s="113"/>
      <c r="M26" s="113"/>
      <c r="N26" s="113"/>
      <c r="O26" s="113"/>
      <c r="P26" s="114">
        <f t="shared" si="0"/>
        <v>0</v>
      </c>
      <c r="Q26" s="115">
        <v>0</v>
      </c>
      <c r="R26" s="116">
        <f t="shared" si="1"/>
        <v>0</v>
      </c>
    </row>
    <row r="27" spans="2:18" ht="15">
      <c r="B27" s="112" t="s">
        <v>54</v>
      </c>
      <c r="C27" s="128">
        <v>2</v>
      </c>
      <c r="D27" s="113">
        <f>C27*C60*0.5</f>
        <v>50000</v>
      </c>
      <c r="E27" s="113">
        <f t="shared" si="2"/>
        <v>95000</v>
      </c>
      <c r="F27" s="113">
        <f t="shared" si="3"/>
        <v>95760</v>
      </c>
      <c r="G27" s="113">
        <f t="shared" si="4"/>
        <v>97679</v>
      </c>
      <c r="H27" s="113"/>
      <c r="I27" s="113"/>
      <c r="J27" s="113"/>
      <c r="K27" s="113"/>
      <c r="L27" s="113"/>
      <c r="M27" s="113"/>
      <c r="N27" s="113"/>
      <c r="O27" s="113"/>
      <c r="P27" s="114">
        <f t="shared" si="0"/>
        <v>193439</v>
      </c>
      <c r="Q27" s="115">
        <v>0</v>
      </c>
      <c r="R27" s="116">
        <f t="shared" si="1"/>
        <v>193439</v>
      </c>
    </row>
    <row r="28" spans="2:18" ht="15">
      <c r="B28" s="48" t="s">
        <v>45</v>
      </c>
      <c r="C28" s="129">
        <v>1</v>
      </c>
      <c r="D28" s="46">
        <f>C28*C59</f>
        <v>95000</v>
      </c>
      <c r="E28" s="46">
        <f>(1+$C$63+$C$64)*D28</f>
        <v>180500</v>
      </c>
      <c r="F28" s="46">
        <f t="shared" si="3"/>
        <v>181944</v>
      </c>
      <c r="G28" s="46">
        <f t="shared" si="4"/>
        <v>185590.1</v>
      </c>
      <c r="H28" s="46"/>
      <c r="I28" s="46"/>
      <c r="J28" s="46"/>
      <c r="K28" s="46"/>
      <c r="L28" s="46"/>
      <c r="M28" s="46"/>
      <c r="N28" s="46"/>
      <c r="O28" s="46"/>
      <c r="P28" s="49">
        <f>SUM(F28:O28)</f>
        <v>367534.1</v>
      </c>
      <c r="Q28" s="47">
        <v>0</v>
      </c>
      <c r="R28" s="50">
        <f>P28+(P28*Q28)</f>
        <v>367534.1</v>
      </c>
    </row>
    <row r="29" spans="2:18" ht="15">
      <c r="B29" s="17"/>
      <c r="C29" s="130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9"/>
      <c r="Q29" s="16"/>
      <c r="R29" s="13"/>
    </row>
    <row r="30" spans="2:18" ht="15">
      <c r="B30" s="43" t="s">
        <v>37</v>
      </c>
      <c r="C30" s="127"/>
      <c r="D30" s="41"/>
      <c r="E30" s="69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33"/>
      <c r="Q30" s="42"/>
      <c r="R30" s="35"/>
    </row>
    <row r="31" spans="2:18" ht="15">
      <c r="B31" s="44" t="s">
        <v>27</v>
      </c>
      <c r="C31" s="131"/>
      <c r="D31" s="45">
        <f>SUM(D32:D34)</f>
        <v>175000</v>
      </c>
      <c r="E31" s="45">
        <f>SUM(E32:E34)</f>
        <v>267750</v>
      </c>
      <c r="F31" s="45">
        <f>SUM(F32:F34)</f>
        <v>0</v>
      </c>
      <c r="G31" s="45">
        <f>SUM(G32:G34)</f>
        <v>0</v>
      </c>
      <c r="H31" s="45">
        <f>SUM(H32:H34)</f>
        <v>165729.59999999998</v>
      </c>
      <c r="I31" s="45">
        <f>SUM(I32:I34)</f>
        <v>127647.90000000001</v>
      </c>
      <c r="J31" s="45"/>
      <c r="K31" s="45"/>
      <c r="L31" s="45"/>
      <c r="M31" s="45"/>
      <c r="N31" s="45"/>
      <c r="O31" s="45"/>
      <c r="P31" s="33">
        <f t="shared" si="0"/>
        <v>293377.5</v>
      </c>
      <c r="Q31" s="42"/>
      <c r="R31" s="35">
        <f>SUM(R32:R34)</f>
        <v>388725.1875</v>
      </c>
    </row>
    <row r="32" spans="2:18" ht="15">
      <c r="B32" s="61" t="s">
        <v>69</v>
      </c>
      <c r="C32" s="132"/>
      <c r="D32" s="62">
        <f>75000</f>
        <v>75000</v>
      </c>
      <c r="E32" s="62">
        <f>(1+$C$63)*D32</f>
        <v>114750</v>
      </c>
      <c r="F32" s="62"/>
      <c r="G32" s="62"/>
      <c r="H32" s="62">
        <f>E32*(1+$H$9)</f>
        <v>124297.2</v>
      </c>
      <c r="I32" s="139">
        <v>0</v>
      </c>
      <c r="J32" s="62"/>
      <c r="K32" s="62"/>
      <c r="L32" s="62"/>
      <c r="M32" s="62"/>
      <c r="N32" s="62"/>
      <c r="O32" s="62"/>
      <c r="P32" s="59">
        <f t="shared" si="0"/>
        <v>124297.2</v>
      </c>
      <c r="Q32" s="63">
        <v>0.325</v>
      </c>
      <c r="R32" s="60">
        <f t="shared" si="1"/>
        <v>164693.79</v>
      </c>
    </row>
    <row r="33" spans="2:18" ht="15">
      <c r="B33" s="61" t="s">
        <v>65</v>
      </c>
      <c r="C33" s="132"/>
      <c r="D33" s="62">
        <f>25000</f>
        <v>25000</v>
      </c>
      <c r="E33" s="62">
        <f>(1+$C$63)*D33</f>
        <v>38250</v>
      </c>
      <c r="F33" s="62"/>
      <c r="G33" s="62"/>
      <c r="H33" s="62">
        <f>E33*(1+$H$9)</f>
        <v>41432.399999999994</v>
      </c>
      <c r="I33" s="139">
        <v>0</v>
      </c>
      <c r="J33" s="62"/>
      <c r="K33" s="62"/>
      <c r="L33" s="62"/>
      <c r="M33" s="62"/>
      <c r="N33" s="62"/>
      <c r="O33" s="62"/>
      <c r="P33" s="59">
        <f t="shared" si="0"/>
        <v>41432.399999999994</v>
      </c>
      <c r="Q33" s="63">
        <v>0.325</v>
      </c>
      <c r="R33" s="60">
        <f t="shared" si="1"/>
        <v>54897.92999999999</v>
      </c>
    </row>
    <row r="34" spans="2:18" ht="15">
      <c r="B34" s="40" t="s">
        <v>42</v>
      </c>
      <c r="C34" s="133"/>
      <c r="D34" s="41">
        <f>75000</f>
        <v>75000</v>
      </c>
      <c r="E34" s="121">
        <f>(1+$C$63)*D34</f>
        <v>114750</v>
      </c>
      <c r="F34" s="41"/>
      <c r="G34" s="41"/>
      <c r="H34" s="121">
        <v>0</v>
      </c>
      <c r="I34" s="41">
        <f>(1+$I$9)*E34</f>
        <v>127647.90000000001</v>
      </c>
      <c r="J34" s="41"/>
      <c r="K34" s="41"/>
      <c r="L34" s="41"/>
      <c r="M34" s="41"/>
      <c r="N34" s="41"/>
      <c r="O34" s="41"/>
      <c r="P34" s="38">
        <f t="shared" si="0"/>
        <v>127647.90000000001</v>
      </c>
      <c r="Q34" s="42">
        <v>0.325</v>
      </c>
      <c r="R34" s="39">
        <f t="shared" si="1"/>
        <v>169133.46750000003</v>
      </c>
    </row>
    <row r="35" spans="2:18" ht="15">
      <c r="B35" s="44" t="s">
        <v>33</v>
      </c>
      <c r="C35" s="131"/>
      <c r="D35" s="45">
        <f>SUM(D36:D44)</f>
        <v>781750</v>
      </c>
      <c r="E35" s="45">
        <f>SUM(E36:E44)</f>
        <v>1485325</v>
      </c>
      <c r="F35" s="45">
        <f>SUM(F36:F44)</f>
        <v>0</v>
      </c>
      <c r="G35" s="45">
        <f>SUM(G36:G44)</f>
        <v>0</v>
      </c>
      <c r="H35" s="45">
        <f>SUM(H36:H44)</f>
        <v>1565384.0175000003</v>
      </c>
      <c r="I35" s="45">
        <f>SUM(I36:I44)</f>
        <v>1604448.065</v>
      </c>
      <c r="J35" s="45"/>
      <c r="K35" s="45"/>
      <c r="L35" s="45"/>
      <c r="M35" s="45"/>
      <c r="N35" s="45"/>
      <c r="O35" s="45"/>
      <c r="P35" s="33">
        <f>SUM(F35:O35)</f>
        <v>3169832.0825000005</v>
      </c>
      <c r="Q35" s="42"/>
      <c r="R35" s="35">
        <f>SUM(R36:R44)</f>
        <v>3803798.499</v>
      </c>
    </row>
    <row r="36" spans="2:18" ht="15">
      <c r="B36" s="68" t="s">
        <v>59</v>
      </c>
      <c r="C36" s="127">
        <v>2</v>
      </c>
      <c r="D36" s="41">
        <f>C36*C57</f>
        <v>316000</v>
      </c>
      <c r="E36" s="69">
        <f>(1+$C$63+$C$64)*D36</f>
        <v>600400</v>
      </c>
      <c r="F36" s="41"/>
      <c r="G36" s="41"/>
      <c r="H36" s="41">
        <f>E36*(1+$H$10)</f>
        <v>632761.56</v>
      </c>
      <c r="I36" s="69">
        <f>E36*(1+$I$10)</f>
        <v>648552.0800000001</v>
      </c>
      <c r="J36" s="41"/>
      <c r="K36" s="41"/>
      <c r="L36" s="41"/>
      <c r="M36" s="41"/>
      <c r="N36" s="41"/>
      <c r="O36" s="41"/>
      <c r="P36" s="38">
        <f t="shared" si="0"/>
        <v>1281313.6400000001</v>
      </c>
      <c r="Q36" s="42">
        <v>0.2</v>
      </c>
      <c r="R36" s="39">
        <f t="shared" si="1"/>
        <v>1537576.3680000002</v>
      </c>
    </row>
    <row r="37" spans="2:18" ht="15">
      <c r="B37" s="68" t="s">
        <v>48</v>
      </c>
      <c r="C37" s="127">
        <v>1</v>
      </c>
      <c r="D37" s="69">
        <f>C37*C58</f>
        <v>147000</v>
      </c>
      <c r="E37" s="69">
        <f>(1+$C$63+$C$64)*D37</f>
        <v>279300</v>
      </c>
      <c r="F37" s="41"/>
      <c r="G37" s="41"/>
      <c r="H37" s="69">
        <f aca="true" t="shared" si="5" ref="H37:H44">E37*(1+$H$10)</f>
        <v>294354.27</v>
      </c>
      <c r="I37" s="69">
        <f aca="true" t="shared" si="6" ref="I37:I44">E37*(1+$I$10)</f>
        <v>301699.86</v>
      </c>
      <c r="J37" s="41"/>
      <c r="K37" s="41"/>
      <c r="L37" s="41"/>
      <c r="M37" s="41"/>
      <c r="N37" s="41"/>
      <c r="O37" s="41"/>
      <c r="P37" s="38">
        <f t="shared" si="0"/>
        <v>596054.13</v>
      </c>
      <c r="Q37" s="42">
        <v>0.2</v>
      </c>
      <c r="R37" s="39">
        <f t="shared" si="1"/>
        <v>715264.956</v>
      </c>
    </row>
    <row r="38" spans="2:18" ht="13.5">
      <c r="B38" s="68" t="s">
        <v>13</v>
      </c>
      <c r="C38" s="127">
        <v>0</v>
      </c>
      <c r="D38" s="69">
        <f>C38*C59</f>
        <v>0</v>
      </c>
      <c r="E38" s="69">
        <f aca="true" t="shared" si="7" ref="E37:E44">(1+$C$63+$C$64)*D38</f>
        <v>0</v>
      </c>
      <c r="F38" s="69"/>
      <c r="G38" s="69"/>
      <c r="H38" s="69">
        <f t="shared" si="5"/>
        <v>0</v>
      </c>
      <c r="I38" s="69">
        <f t="shared" si="6"/>
        <v>0</v>
      </c>
      <c r="J38" s="69"/>
      <c r="K38" s="69"/>
      <c r="L38" s="69"/>
      <c r="M38" s="69"/>
      <c r="N38" s="69"/>
      <c r="O38" s="69"/>
      <c r="P38" s="38">
        <f t="shared" si="0"/>
        <v>0</v>
      </c>
      <c r="Q38" s="70">
        <v>0.2</v>
      </c>
      <c r="R38" s="39">
        <f t="shared" si="1"/>
        <v>0</v>
      </c>
    </row>
    <row r="39" spans="2:18" ht="13.5">
      <c r="B39" s="68" t="s">
        <v>55</v>
      </c>
      <c r="C39" s="127">
        <v>2</v>
      </c>
      <c r="D39" s="69">
        <f>C39*C60*0.5</f>
        <v>50000</v>
      </c>
      <c r="E39" s="69">
        <f t="shared" si="7"/>
        <v>95000</v>
      </c>
      <c r="F39" s="69"/>
      <c r="G39" s="69"/>
      <c r="H39" s="69">
        <f t="shared" si="5"/>
        <v>100120.5</v>
      </c>
      <c r="I39" s="69">
        <f t="shared" si="6"/>
        <v>102619</v>
      </c>
      <c r="J39" s="69"/>
      <c r="K39" s="69"/>
      <c r="L39" s="69"/>
      <c r="M39" s="69"/>
      <c r="N39" s="69"/>
      <c r="O39" s="69"/>
      <c r="P39" s="38">
        <f t="shared" si="0"/>
        <v>202739.5</v>
      </c>
      <c r="Q39" s="70">
        <v>0.2</v>
      </c>
      <c r="R39" s="39">
        <f t="shared" si="1"/>
        <v>243287.4</v>
      </c>
    </row>
    <row r="40" spans="2:18" ht="13.5">
      <c r="B40" s="112" t="s">
        <v>47</v>
      </c>
      <c r="C40" s="128">
        <v>0.25</v>
      </c>
      <c r="D40" s="113">
        <f>C40*C57</f>
        <v>39500</v>
      </c>
      <c r="E40" s="113">
        <f t="shared" si="7"/>
        <v>75050</v>
      </c>
      <c r="F40" s="113"/>
      <c r="G40" s="113"/>
      <c r="H40" s="113">
        <f t="shared" si="5"/>
        <v>79095.195</v>
      </c>
      <c r="I40" s="113">
        <f t="shared" si="6"/>
        <v>81069.01000000001</v>
      </c>
      <c r="J40" s="113"/>
      <c r="K40" s="113"/>
      <c r="L40" s="113"/>
      <c r="M40" s="113"/>
      <c r="N40" s="113"/>
      <c r="O40" s="113"/>
      <c r="P40" s="114">
        <f t="shared" si="0"/>
        <v>160164.20500000002</v>
      </c>
      <c r="Q40" s="115">
        <v>0.2</v>
      </c>
      <c r="R40" s="116">
        <f t="shared" si="1"/>
        <v>192197.04600000003</v>
      </c>
    </row>
    <row r="41" spans="2:18" ht="13.5">
      <c r="B41" s="112" t="s">
        <v>60</v>
      </c>
      <c r="C41" s="128">
        <v>0.25</v>
      </c>
      <c r="D41" s="113">
        <f>C41*C58</f>
        <v>36750</v>
      </c>
      <c r="E41" s="113">
        <f t="shared" si="7"/>
        <v>69825</v>
      </c>
      <c r="F41" s="113"/>
      <c r="G41" s="113"/>
      <c r="H41" s="113">
        <f t="shared" si="5"/>
        <v>73588.5675</v>
      </c>
      <c r="I41" s="113">
        <f t="shared" si="6"/>
        <v>75424.965</v>
      </c>
      <c r="J41" s="113"/>
      <c r="K41" s="113"/>
      <c r="L41" s="113"/>
      <c r="M41" s="113"/>
      <c r="N41" s="113"/>
      <c r="O41" s="113"/>
      <c r="P41" s="114">
        <f t="shared" si="0"/>
        <v>149013.5325</v>
      </c>
      <c r="Q41" s="115">
        <v>0.2</v>
      </c>
      <c r="R41" s="116">
        <f t="shared" si="1"/>
        <v>178816.239</v>
      </c>
    </row>
    <row r="42" spans="2:18" ht="13.5">
      <c r="B42" s="112" t="s">
        <v>14</v>
      </c>
      <c r="C42" s="128">
        <v>0</v>
      </c>
      <c r="D42" s="113">
        <f>C42*C59</f>
        <v>0</v>
      </c>
      <c r="E42" s="113">
        <f t="shared" si="7"/>
        <v>0</v>
      </c>
      <c r="F42" s="113"/>
      <c r="G42" s="113"/>
      <c r="H42" s="113">
        <f t="shared" si="5"/>
        <v>0</v>
      </c>
      <c r="I42" s="113">
        <f t="shared" si="6"/>
        <v>0</v>
      </c>
      <c r="J42" s="113"/>
      <c r="K42" s="113"/>
      <c r="L42" s="113"/>
      <c r="M42" s="113"/>
      <c r="N42" s="113"/>
      <c r="O42" s="113"/>
      <c r="P42" s="114">
        <f t="shared" si="0"/>
        <v>0</v>
      </c>
      <c r="Q42" s="115">
        <v>0.2</v>
      </c>
      <c r="R42" s="116">
        <f t="shared" si="1"/>
        <v>0</v>
      </c>
    </row>
    <row r="43" spans="2:18" ht="13.5">
      <c r="B43" s="112" t="s">
        <v>54</v>
      </c>
      <c r="C43" s="128">
        <v>2</v>
      </c>
      <c r="D43" s="113">
        <f>C43*C60*0.5</f>
        <v>50000</v>
      </c>
      <c r="E43" s="113">
        <f t="shared" si="7"/>
        <v>95000</v>
      </c>
      <c r="F43" s="113"/>
      <c r="G43" s="113"/>
      <c r="H43" s="113">
        <f t="shared" si="5"/>
        <v>100120.5</v>
      </c>
      <c r="I43" s="113">
        <f t="shared" si="6"/>
        <v>102619</v>
      </c>
      <c r="J43" s="113"/>
      <c r="K43" s="113"/>
      <c r="L43" s="113"/>
      <c r="M43" s="113"/>
      <c r="N43" s="113"/>
      <c r="O43" s="113"/>
      <c r="P43" s="114">
        <f t="shared" si="0"/>
        <v>202739.5</v>
      </c>
      <c r="Q43" s="115">
        <v>0.2</v>
      </c>
      <c r="R43" s="116">
        <f t="shared" si="1"/>
        <v>243287.4</v>
      </c>
    </row>
    <row r="44" spans="2:18" ht="13.5">
      <c r="B44" s="48" t="s">
        <v>46</v>
      </c>
      <c r="C44" s="129">
        <v>1.5</v>
      </c>
      <c r="D44" s="46">
        <f>C44*C59</f>
        <v>142500</v>
      </c>
      <c r="E44" s="46">
        <f>(1+$C$63+$C$64)*D44</f>
        <v>270750</v>
      </c>
      <c r="F44" s="46"/>
      <c r="G44" s="46"/>
      <c r="H44" s="46">
        <f t="shared" si="5"/>
        <v>285343.425</v>
      </c>
      <c r="I44" s="46">
        <f t="shared" si="6"/>
        <v>292464.15</v>
      </c>
      <c r="J44" s="46"/>
      <c r="K44" s="46"/>
      <c r="L44" s="46"/>
      <c r="M44" s="46"/>
      <c r="N44" s="46"/>
      <c r="O44" s="46"/>
      <c r="P44" s="49">
        <f>SUM(F44:O44)</f>
        <v>577807.575</v>
      </c>
      <c r="Q44" s="47">
        <v>0.2</v>
      </c>
      <c r="R44" s="50">
        <f>P44+(P44*Q44)</f>
        <v>693369.09</v>
      </c>
    </row>
    <row r="45" spans="2:18" ht="13.5">
      <c r="B45" s="17"/>
      <c r="C45" s="130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2"/>
      <c r="Q45" s="16"/>
      <c r="R45" s="13"/>
    </row>
    <row r="46" spans="2:18" ht="13.5">
      <c r="B46" s="43" t="s">
        <v>6</v>
      </c>
      <c r="C46" s="131"/>
      <c r="D46" s="45">
        <f>42500</f>
        <v>42500</v>
      </c>
      <c r="E46" s="45">
        <f>(1+$C$63)*D46</f>
        <v>65025</v>
      </c>
      <c r="F46" s="45">
        <f>(1+F10)*$E$46</f>
        <v>65545.2</v>
      </c>
      <c r="G46" s="45">
        <f>(1+G10)*$E$46</f>
        <v>66858.705</v>
      </c>
      <c r="H46" s="45">
        <f>1.5*(1+H10)*$E$46</f>
        <v>102794.77125</v>
      </c>
      <c r="I46" s="45">
        <f>1.5*(1+I10)*$E$46</f>
        <v>105360.0075</v>
      </c>
      <c r="J46" s="45"/>
      <c r="K46" s="45"/>
      <c r="L46" s="45"/>
      <c r="M46" s="45"/>
      <c r="N46" s="45"/>
      <c r="O46" s="45"/>
      <c r="P46" s="33">
        <f t="shared" si="0"/>
        <v>340558.68375</v>
      </c>
      <c r="Q46" s="42"/>
      <c r="R46" s="35">
        <f t="shared" si="1"/>
        <v>340558.68375</v>
      </c>
    </row>
    <row r="47" spans="2:19" ht="13.5">
      <c r="B47" s="80"/>
      <c r="C47" s="134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12"/>
      <c r="Q47" s="10"/>
      <c r="R47" s="13"/>
      <c r="S47" s="2"/>
    </row>
    <row r="48" spans="2:19" ht="13.5">
      <c r="B48" s="81" t="s">
        <v>62</v>
      </c>
      <c r="C48" s="124"/>
      <c r="D48" s="37">
        <f>SUM(D34,D20:D23,D36:D39,D14:D16,D46)</f>
        <v>1177000</v>
      </c>
      <c r="E48" s="37">
        <f>SUM(E34,E20:E23,E36:E39,E14:E16,E46)</f>
        <v>2146575</v>
      </c>
      <c r="F48" s="37">
        <f>SUM(F34,F20:F23,F36:F39,F14:F16,F46)</f>
        <v>872802</v>
      </c>
      <c r="G48" s="37">
        <f>SUM(G34,G20:G23,G36:G39,G14:G16,G46)</f>
        <v>1031490.6375</v>
      </c>
      <c r="H48" s="37">
        <f>SUM(H34,H20:H23,H36:H39,H14:H16,H46)</f>
        <v>1275044.50125</v>
      </c>
      <c r="I48" s="37">
        <f>SUM(I34,I20:I23,I36:I39,I14:I16,I46)</f>
        <v>1285878.8475000001</v>
      </c>
      <c r="J48" s="37"/>
      <c r="K48" s="37"/>
      <c r="L48" s="37"/>
      <c r="M48" s="75"/>
      <c r="N48" s="75"/>
      <c r="O48" s="75"/>
      <c r="P48" s="37">
        <f>SUM(F48:O48)</f>
        <v>4465215.98625</v>
      </c>
      <c r="Q48" s="75"/>
      <c r="R48" s="89">
        <f>SUM(R46,R36:R39,R34,R20:R23,R14:R15)</f>
        <v>4853214.534000001</v>
      </c>
      <c r="S48" s="2"/>
    </row>
    <row r="49" spans="2:19" ht="13.5">
      <c r="B49" s="117" t="s">
        <v>64</v>
      </c>
      <c r="C49" s="125"/>
      <c r="D49" s="119">
        <f>SUM(D17,D24:D27,D40:D43)</f>
        <v>290250</v>
      </c>
      <c r="E49" s="119">
        <f>SUM(E17,E24:E27,E40:E43)</f>
        <v>543150</v>
      </c>
      <c r="F49" s="119">
        <f>SUM(F17,F24:F27,F40:F43)</f>
        <v>271000.8</v>
      </c>
      <c r="G49" s="119">
        <f>SUM(G17,G24:G27,G40:G43)</f>
        <v>312739.6175</v>
      </c>
      <c r="H49" s="119">
        <f>SUM(H17,H24:H27,H40:H43)</f>
        <v>252804.2625</v>
      </c>
      <c r="I49" s="119">
        <f>SUM(I17,I24:I27,I40:I43)</f>
        <v>259112.975</v>
      </c>
      <c r="J49" s="119"/>
      <c r="K49" s="119"/>
      <c r="L49" s="119"/>
      <c r="M49" s="118"/>
      <c r="N49" s="118"/>
      <c r="O49" s="118"/>
      <c r="P49" s="119">
        <f>SUM(F49:O49)</f>
        <v>1095657.655</v>
      </c>
      <c r="Q49" s="118"/>
      <c r="R49" s="120">
        <f>SUM(R40:R43,R24:R27)</f>
        <v>1161733.0550000002</v>
      </c>
      <c r="S49" s="2"/>
    </row>
    <row r="50" spans="2:18" ht="13.5">
      <c r="B50" s="83" t="s">
        <v>44</v>
      </c>
      <c r="C50" s="135"/>
      <c r="D50" s="58">
        <f>SUM(D32:D33)</f>
        <v>100000</v>
      </c>
      <c r="E50" s="58">
        <f>SUM(E32:E33)</f>
        <v>153000</v>
      </c>
      <c r="F50" s="58">
        <f>SUM(F32:F33)</f>
        <v>0</v>
      </c>
      <c r="G50" s="58">
        <f>SUM(G32:G33)</f>
        <v>0</v>
      </c>
      <c r="H50" s="58">
        <f>SUM(H32:H33)</f>
        <v>165729.59999999998</v>
      </c>
      <c r="I50" s="58">
        <f>SUM(I32:I33)</f>
        <v>0</v>
      </c>
      <c r="J50" s="58"/>
      <c r="K50" s="58"/>
      <c r="L50" s="58"/>
      <c r="M50" s="77"/>
      <c r="N50" s="77"/>
      <c r="O50" s="77"/>
      <c r="P50" s="58">
        <f>SUM(F50:O50)</f>
        <v>165729.59999999998</v>
      </c>
      <c r="Q50" s="77"/>
      <c r="R50" s="91">
        <f>SUM(R32:R33,R16)</f>
        <v>382118.88656250003</v>
      </c>
    </row>
    <row r="51" spans="2:18" ht="13.5">
      <c r="B51" s="82" t="s">
        <v>63</v>
      </c>
      <c r="C51" s="126"/>
      <c r="D51" s="66">
        <f>SUM(D18,D28,D44)</f>
        <v>337500</v>
      </c>
      <c r="E51" s="66">
        <f>SUM(E18,E28,E44)</f>
        <v>604250</v>
      </c>
      <c r="F51" s="66">
        <f>SUM(F18,F28,F44)</f>
        <v>202484</v>
      </c>
      <c r="G51" s="66">
        <f>SUM(G18,G28,G44)</f>
        <v>314685.38</v>
      </c>
      <c r="H51" s="66">
        <f>SUM(H18,H28,H44)</f>
        <v>285343.425</v>
      </c>
      <c r="I51" s="66">
        <f>SUM(I18,I28,I44)</f>
        <v>292464.15</v>
      </c>
      <c r="J51" s="66"/>
      <c r="K51" s="66"/>
      <c r="L51" s="66"/>
      <c r="M51" s="76"/>
      <c r="N51" s="76"/>
      <c r="O51" s="76"/>
      <c r="P51" s="66">
        <f>SUM(F51:O51)</f>
        <v>1094976.955</v>
      </c>
      <c r="Q51" s="76"/>
      <c r="R51" s="90">
        <f>SUM(R44,R28,R18)</f>
        <v>1259918.1124</v>
      </c>
    </row>
    <row r="52" spans="2:18" ht="13.5">
      <c r="B52" s="84"/>
      <c r="C52" s="136"/>
      <c r="D52" s="78"/>
      <c r="E52" s="78"/>
      <c r="F52" s="79"/>
      <c r="G52" s="79"/>
      <c r="H52" s="79"/>
      <c r="I52" s="79"/>
      <c r="J52" s="79"/>
      <c r="K52" s="79"/>
      <c r="L52" s="79"/>
      <c r="M52" s="78"/>
      <c r="N52" s="78"/>
      <c r="O52" s="78"/>
      <c r="P52" s="79"/>
      <c r="Q52" s="78"/>
      <c r="R52" s="92"/>
    </row>
    <row r="53" spans="2:18" ht="13.5">
      <c r="B53" s="85" t="s">
        <v>49</v>
      </c>
      <c r="C53" s="137"/>
      <c r="D53" s="24"/>
      <c r="E53" s="24"/>
      <c r="F53" s="74">
        <f>F48+F49</f>
        <v>1143802.8</v>
      </c>
      <c r="G53" s="74">
        <f>G48+G49</f>
        <v>1344230.255</v>
      </c>
      <c r="H53" s="74">
        <f>H48+H49</f>
        <v>1527848.76375</v>
      </c>
      <c r="I53" s="74">
        <f>I48+I49</f>
        <v>1544991.8225000002</v>
      </c>
      <c r="J53" s="74"/>
      <c r="K53" s="74"/>
      <c r="L53" s="74"/>
      <c r="M53" s="24"/>
      <c r="N53" s="24"/>
      <c r="O53" s="24"/>
      <c r="P53" s="74">
        <f>SUM(F53:O53)</f>
        <v>5560873.641249999</v>
      </c>
      <c r="Q53" s="24"/>
      <c r="R53" s="93">
        <f>R48+R49</f>
        <v>6014947.589000002</v>
      </c>
    </row>
    <row r="54" spans="2:18" ht="15" thickBot="1">
      <c r="B54" s="88" t="s">
        <v>50</v>
      </c>
      <c r="C54" s="138"/>
      <c r="D54" s="86"/>
      <c r="E54" s="86"/>
      <c r="F54" s="87">
        <f>SUM(F48:F51)</f>
        <v>1346286.8</v>
      </c>
      <c r="G54" s="87">
        <f>SUM(G48:G51)</f>
        <v>1658915.6349999998</v>
      </c>
      <c r="H54" s="87">
        <f>SUM(H48:H51)</f>
        <v>1978921.78875</v>
      </c>
      <c r="I54" s="87">
        <f>SUM(I48:I51)</f>
        <v>1837455.9725000001</v>
      </c>
      <c r="J54" s="87"/>
      <c r="K54" s="87"/>
      <c r="L54" s="87"/>
      <c r="M54" s="86"/>
      <c r="N54" s="140"/>
      <c r="O54" s="86"/>
      <c r="P54" s="87">
        <f>SUM(F54:O54)</f>
        <v>6821580.19625</v>
      </c>
      <c r="Q54" s="86"/>
      <c r="R54" s="94">
        <f>SUM(R48:R51)</f>
        <v>7656984.587962502</v>
      </c>
    </row>
    <row r="55" spans="2:16" ht="15.75" thickBot="1" thickTop="1">
      <c r="B55" s="71"/>
      <c r="C55" s="21"/>
      <c r="D55" s="72"/>
      <c r="E55" s="72"/>
      <c r="F55" s="72"/>
      <c r="G55" s="72"/>
      <c r="H55" s="72"/>
      <c r="I55" s="72"/>
      <c r="J55" s="72"/>
      <c r="K55" s="21"/>
      <c r="L55" s="21"/>
      <c r="M55" s="21"/>
      <c r="N55" s="141"/>
      <c r="O55" s="21"/>
      <c r="P55" s="73"/>
    </row>
    <row r="56" spans="2:14" ht="15" thickTop="1">
      <c r="B56" s="95" t="s">
        <v>15</v>
      </c>
      <c r="C56" s="22"/>
      <c r="D56" s="2"/>
      <c r="E56" s="96" t="s">
        <v>36</v>
      </c>
      <c r="F56" s="6"/>
      <c r="G56" s="6"/>
      <c r="H56" s="6"/>
      <c r="I56" s="6"/>
      <c r="J56" s="6"/>
      <c r="K56" s="6"/>
      <c r="L56" s="6"/>
      <c r="M56" s="7"/>
      <c r="N56" s="2"/>
    </row>
    <row r="57" spans="2:15" ht="13.5">
      <c r="B57" s="22" t="s">
        <v>28</v>
      </c>
      <c r="C57" s="56">
        <v>158000</v>
      </c>
      <c r="D57" s="2"/>
      <c r="E57" s="52" t="s">
        <v>66</v>
      </c>
      <c r="F57" s="21"/>
      <c r="G57" s="21"/>
      <c r="H57" s="21"/>
      <c r="I57" s="21"/>
      <c r="J57" s="21"/>
      <c r="K57" s="21"/>
      <c r="L57" s="21"/>
      <c r="M57" s="53"/>
      <c r="N57" s="21"/>
      <c r="O57" s="51"/>
    </row>
    <row r="58" spans="2:15" ht="13.5">
      <c r="B58" s="22" t="s">
        <v>29</v>
      </c>
      <c r="C58" s="56">
        <v>147000</v>
      </c>
      <c r="D58" s="2"/>
      <c r="E58" s="52" t="s">
        <v>5</v>
      </c>
      <c r="F58" s="21"/>
      <c r="G58" s="21"/>
      <c r="H58" s="21"/>
      <c r="I58" s="21"/>
      <c r="J58" s="21"/>
      <c r="K58" s="21"/>
      <c r="L58" s="21"/>
      <c r="M58" s="53"/>
      <c r="N58" s="21"/>
      <c r="O58" s="51"/>
    </row>
    <row r="59" spans="2:15" ht="13.5">
      <c r="B59" s="22" t="s">
        <v>30</v>
      </c>
      <c r="C59" s="56">
        <v>95000</v>
      </c>
      <c r="D59" s="2"/>
      <c r="E59" s="52" t="s">
        <v>51</v>
      </c>
      <c r="F59" s="21"/>
      <c r="G59" s="21"/>
      <c r="H59" s="21"/>
      <c r="I59" s="21"/>
      <c r="J59" s="21"/>
      <c r="K59" s="21"/>
      <c r="L59" s="21"/>
      <c r="M59" s="53"/>
      <c r="N59" s="21"/>
      <c r="O59" s="51"/>
    </row>
    <row r="60" spans="2:15" ht="13.5">
      <c r="B60" s="22" t="s">
        <v>68</v>
      </c>
      <c r="C60" s="56">
        <v>50000</v>
      </c>
      <c r="D60" s="2"/>
      <c r="E60" s="52" t="s">
        <v>8</v>
      </c>
      <c r="F60" s="21"/>
      <c r="G60" s="21"/>
      <c r="H60" s="21"/>
      <c r="I60" s="21"/>
      <c r="J60" s="21"/>
      <c r="K60" s="21"/>
      <c r="L60" s="21"/>
      <c r="M60" s="53"/>
      <c r="N60" s="21"/>
      <c r="O60" s="51"/>
    </row>
    <row r="61" spans="2:15" ht="15" thickBot="1">
      <c r="B61" s="2"/>
      <c r="C61" s="57"/>
      <c r="E61" s="142" t="s">
        <v>53</v>
      </c>
      <c r="F61" s="143"/>
      <c r="G61" s="143"/>
      <c r="H61" s="143"/>
      <c r="I61" s="143"/>
      <c r="J61" s="143"/>
      <c r="K61" s="144"/>
      <c r="L61" s="143"/>
      <c r="M61" s="145"/>
      <c r="N61" s="51"/>
      <c r="O61" s="51"/>
    </row>
    <row r="62" spans="2:15" ht="15" thickTop="1">
      <c r="B62" s="24" t="s">
        <v>67</v>
      </c>
      <c r="C62" s="54">
        <v>0.0765</v>
      </c>
      <c r="D62" s="2"/>
      <c r="E62" s="21"/>
      <c r="N62" s="51"/>
      <c r="O62" s="51"/>
    </row>
    <row r="63" spans="2:17" ht="13.5">
      <c r="B63" s="24" t="s">
        <v>10</v>
      </c>
      <c r="C63" s="10">
        <v>0.53</v>
      </c>
      <c r="D63" s="23"/>
      <c r="E63" s="21" t="s">
        <v>52</v>
      </c>
      <c r="N63" s="51"/>
      <c r="O63" s="51"/>
      <c r="P63" s="2"/>
      <c r="Q63" s="2"/>
    </row>
    <row r="64" spans="2:15" ht="13.5">
      <c r="B64" s="24" t="s">
        <v>11</v>
      </c>
      <c r="C64" s="10">
        <v>0.37</v>
      </c>
      <c r="D64" s="2"/>
      <c r="E64" s="75"/>
      <c r="F64" t="s">
        <v>1</v>
      </c>
      <c r="N64" s="51"/>
      <c r="O64" s="51"/>
    </row>
    <row r="65" spans="4:6" ht="13.5">
      <c r="D65" s="2"/>
      <c r="E65" s="76"/>
      <c r="F65" t="s">
        <v>2</v>
      </c>
    </row>
    <row r="66" spans="4:6" ht="13.5">
      <c r="D66" s="23"/>
      <c r="E66" s="118"/>
      <c r="F66" t="s">
        <v>4</v>
      </c>
    </row>
    <row r="67" spans="5:16" ht="13.5">
      <c r="E67" s="77"/>
      <c r="F67" t="s">
        <v>3</v>
      </c>
      <c r="P67" s="2"/>
    </row>
    <row r="78" spans="17:18" ht="13.5">
      <c r="Q78" s="2"/>
      <c r="R78" s="20"/>
    </row>
    <row r="79" ht="13.5">
      <c r="A79" s="2"/>
    </row>
    <row r="80" spans="1:18" ht="13.5">
      <c r="A80" s="2"/>
      <c r="Q80" s="20"/>
      <c r="R80" s="20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</sheetData>
  <sheetProtection/>
  <mergeCells count="2">
    <mergeCell ref="C4:L5"/>
    <mergeCell ref="C6:L6"/>
  </mergeCells>
  <printOptions/>
  <pageMargins left="0.7" right="0.7" top="0.75" bottom="0.75" header="0.3" footer="0.3"/>
  <pageSetup fitToHeight="1" fitToWidth="1" orientation="landscape" scale="4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Fermi National Accelerator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</dc:creator>
  <cp:keywords/>
  <dc:description/>
  <cp:lastModifiedBy>John Cesaratto</cp:lastModifiedBy>
  <cp:lastPrinted>2013-06-04T18:29:39Z</cp:lastPrinted>
  <dcterms:created xsi:type="dcterms:W3CDTF">2012-06-01T16:18:36Z</dcterms:created>
  <dcterms:modified xsi:type="dcterms:W3CDTF">2013-07-02T18:50:08Z</dcterms:modified>
  <cp:category/>
  <cp:version/>
  <cp:contentType/>
  <cp:contentStatus/>
</cp:coreProperties>
</file>